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EC173E81-D592-4AF7-BE2B-7FB57B52532A}" xr6:coauthVersionLast="47" xr6:coauthVersionMax="47" xr10:uidLastSave="{00000000-0000-0000-0000-000000000000}"/>
  <bookViews>
    <workbookView xWindow="-120" yWindow="-120" windowWidth="29040" windowHeight="15840" tabRatio="900" firstSheet="2" activeTab="6" xr2:uid="{00000000-000D-0000-FFFF-FFFF00000000}"/>
  </bookViews>
  <sheets>
    <sheet name="Dans" sheetId="1" state="hidden" r:id="rId1"/>
    <sheet name="Guilgee balans" sheetId="2" state="hidden" r:id="rId2"/>
    <sheet name="Nuur" sheetId="4" r:id="rId3"/>
    <sheet name="ST1" sheetId="5" r:id="rId4"/>
    <sheet name="ST2" sheetId="6" r:id="rId5"/>
    <sheet name="ST3" sheetId="7" r:id="rId6"/>
    <sheet name="ST4" sheetId="8" r:id="rId7"/>
    <sheet name="Tod" sheetId="22" r:id="rId8"/>
    <sheet name="Gaali-2025" sheetId="15" state="hidden" r:id="rId9"/>
    <sheet name="Gaali" sheetId="17" state="hidden" r:id="rId10"/>
    <sheet name="Sheet2" sheetId="16" state="hidden" r:id="rId11"/>
    <sheet name="BM" sheetId="9" state="hidden" r:id="rId12"/>
    <sheet name="Sheet3" sheetId="19" state="hidden" r:id="rId13"/>
    <sheet name="Vat" sheetId="11" state="hidden" r:id="rId14"/>
    <sheet name="Salary" sheetId="12" state="hidden" r:id="rId15"/>
    <sheet name="Dot-Hud" sheetId="14" state="hidden" r:id="rId16"/>
    <sheet name="Bor" sheetId="18" state="hidden" r:id="rId17"/>
    <sheet name="kass" sheetId="20" state="hidden" r:id="rId18"/>
    <sheet name="Sheet1" sheetId="21" state="hidden" r:id="rId19"/>
  </sheets>
  <externalReferences>
    <externalReference r:id="rId20"/>
    <externalReference r:id="rId21"/>
    <externalReference r:id="rId22"/>
    <externalReference r:id="rId23"/>
    <externalReference r:id="rId24"/>
    <externalReference r:id="rId25"/>
    <externalReference r:id="rId26"/>
    <externalReference r:id="rId27"/>
  </externalReferences>
  <definedNames>
    <definedName name="_xlnm._FilterDatabase" localSheetId="11" hidden="1">BM!$B$11:$S$62</definedName>
    <definedName name="_xlnm._FilterDatabase" localSheetId="0" hidden="1">Dans!$A$2:$I$558</definedName>
    <definedName name="_xlnm._FilterDatabase" localSheetId="15" hidden="1">'Dot-Hud'!$A$1:$L$563</definedName>
    <definedName name="_xlnm.Print_Area" localSheetId="7">Tod!$A$1:$M$445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8" i="22" l="1"/>
  <c r="E257" i="22" s="1"/>
  <c r="E266" i="22"/>
  <c r="E270" i="22" s="1"/>
  <c r="E210" i="22"/>
  <c r="E180" i="22"/>
  <c r="E35" i="22"/>
  <c r="D42" i="22"/>
  <c r="E262" i="22" l="1"/>
  <c r="E264" i="22" s="1"/>
  <c r="D29" i="22" l="1"/>
  <c r="E29" i="22"/>
  <c r="E335" i="22"/>
  <c r="D335" i="22"/>
  <c r="D287" i="22"/>
  <c r="E211" i="22"/>
  <c r="D211" i="22"/>
  <c r="F193" i="22"/>
  <c r="D193" i="22"/>
  <c r="E184" i="22"/>
  <c r="D184" i="22"/>
  <c r="G155" i="22"/>
  <c r="E155" i="22"/>
  <c r="E42" i="22"/>
  <c r="I18" i="17" l="1"/>
  <c r="M14" i="17"/>
  <c r="E14" i="17"/>
  <c r="D14" i="17"/>
  <c r="G13" i="17"/>
  <c r="I13" i="17" s="1"/>
  <c r="F12" i="17"/>
  <c r="G12" i="17" s="1"/>
  <c r="I12" i="17" s="1"/>
  <c r="N12" i="17" s="1"/>
  <c r="O12" i="17" s="1"/>
  <c r="Q12" i="17" s="1"/>
  <c r="L11" i="17"/>
  <c r="L14" i="17" s="1"/>
  <c r="F11" i="17"/>
  <c r="G11" i="17" s="1"/>
  <c r="I11" i="17" s="1"/>
  <c r="N11" i="17" s="1"/>
  <c r="O11" i="17" s="1"/>
  <c r="Q11" i="17" s="1"/>
  <c r="F10" i="17"/>
  <c r="G10" i="17" s="1"/>
  <c r="I10" i="17" s="1"/>
  <c r="N10" i="17" s="1"/>
  <c r="O10" i="17" s="1"/>
  <c r="Q10" i="17" s="1"/>
  <c r="H9" i="17"/>
  <c r="H14" i="17" s="1"/>
  <c r="E9" i="17"/>
  <c r="G9" i="17" s="1"/>
  <c r="I9" i="17" s="1"/>
  <c r="D9" i="17"/>
  <c r="G8" i="17"/>
  <c r="I8" i="17" s="1"/>
  <c r="M7" i="17"/>
  <c r="L7" i="17"/>
  <c r="G7" i="17"/>
  <c r="I7" i="17" s="1"/>
  <c r="M6" i="17"/>
  <c r="G6" i="17"/>
  <c r="I6" i="17" s="1"/>
  <c r="G5" i="17"/>
  <c r="I5" i="17" s="1"/>
  <c r="L4" i="17"/>
  <c r="G4" i="17"/>
  <c r="I4" i="17" s="1"/>
  <c r="K23" i="7"/>
  <c r="K22" i="7"/>
  <c r="F21" i="7"/>
  <c r="K21" i="7" s="1"/>
  <c r="K20" i="7"/>
  <c r="K19" i="7"/>
  <c r="K18" i="7"/>
  <c r="K17" i="7"/>
  <c r="J16" i="7"/>
  <c r="J24" i="7" s="1"/>
  <c r="I16" i="7"/>
  <c r="I24" i="7" s="1"/>
  <c r="H16" i="7"/>
  <c r="H24" i="7" s="1"/>
  <c r="G16" i="7"/>
  <c r="G24" i="7" s="1"/>
  <c r="F16" i="7"/>
  <c r="E16" i="7"/>
  <c r="E24" i="7" s="1"/>
  <c r="D16" i="7"/>
  <c r="D24" i="7" s="1"/>
  <c r="K15" i="7"/>
  <c r="K14" i="7"/>
  <c r="K13" i="7"/>
  <c r="K12" i="7"/>
  <c r="K11" i="7"/>
  <c r="K10" i="7"/>
  <c r="A10" i="7"/>
  <c r="A11" i="7" s="1"/>
  <c r="A12" i="7" s="1"/>
  <c r="A13" i="7" s="1"/>
  <c r="A14" i="7" s="1"/>
  <c r="A15" i="7" s="1"/>
  <c r="A16" i="7" s="1"/>
  <c r="A17" i="7" s="1"/>
  <c r="A18" i="7" s="1"/>
  <c r="A19" i="7" s="1"/>
  <c r="A20" i="7" s="1"/>
  <c r="A21" i="7" s="1"/>
  <c r="A22" i="7" s="1"/>
  <c r="A23" i="7" s="1"/>
  <c r="A24" i="7" s="1"/>
  <c r="K9" i="7"/>
  <c r="K16" i="7" s="1"/>
  <c r="A9" i="7"/>
  <c r="K8" i="7"/>
  <c r="D31" i="6"/>
  <c r="D11" i="6"/>
  <c r="D26" i="6" s="1"/>
  <c r="D28" i="6" s="1"/>
  <c r="D30" i="6" s="1"/>
  <c r="D35" i="6" s="1"/>
  <c r="A4" i="6"/>
  <c r="C68" i="5"/>
  <c r="D68" i="5"/>
  <c r="D55" i="5"/>
  <c r="C55" i="5"/>
  <c r="C56" i="5" s="1"/>
  <c r="C69" i="5" s="1"/>
  <c r="C71" i="5" s="1"/>
  <c r="C48" i="5"/>
  <c r="D39" i="5"/>
  <c r="D38" i="5"/>
  <c r="D36" i="5"/>
  <c r="D48" i="5" s="1"/>
  <c r="C32" i="5"/>
  <c r="C70" i="5" s="1"/>
  <c r="D31" i="5"/>
  <c r="C31" i="5"/>
  <c r="C20" i="5"/>
  <c r="D20" i="5"/>
  <c r="D65" i="2"/>
  <c r="F39" i="2"/>
  <c r="G38" i="2" s="1"/>
  <c r="G65" i="2" s="1"/>
  <c r="G40" i="2"/>
  <c r="K40" i="2" s="1"/>
  <c r="G39" i="2"/>
  <c r="E38" i="2"/>
  <c r="B38" i="2"/>
  <c r="I37" i="2"/>
  <c r="B37" i="2"/>
  <c r="I36" i="2"/>
  <c r="B36" i="2"/>
  <c r="I35" i="2"/>
  <c r="B35" i="2"/>
  <c r="I34" i="2"/>
  <c r="B34" i="2"/>
  <c r="I33" i="2"/>
  <c r="B33" i="2"/>
  <c r="I32" i="2"/>
  <c r="H32" i="2"/>
  <c r="I31" i="2"/>
  <c r="B31" i="2"/>
  <c r="I30" i="2"/>
  <c r="B30" i="2"/>
  <c r="I29" i="2"/>
  <c r="I28" i="2"/>
  <c r="B28" i="2"/>
  <c r="I27" i="2"/>
  <c r="B27" i="2"/>
  <c r="I26" i="2"/>
  <c r="B26" i="2"/>
  <c r="H25" i="2"/>
  <c r="B25" i="2"/>
  <c r="H24" i="2"/>
  <c r="K24" i="2" s="1"/>
  <c r="B24" i="2"/>
  <c r="H23" i="2"/>
  <c r="B23" i="2"/>
  <c r="H22" i="2"/>
  <c r="K22" i="2" s="1"/>
  <c r="B22" i="2"/>
  <c r="I21" i="2"/>
  <c r="H21" i="2"/>
  <c r="H20" i="2"/>
  <c r="K20" i="2" s="1"/>
  <c r="B20" i="2"/>
  <c r="H19" i="2"/>
  <c r="K19" i="2" s="1"/>
  <c r="B19" i="2"/>
  <c r="H18" i="2"/>
  <c r="H17" i="2"/>
  <c r="K17" i="2" s="1"/>
  <c r="B17" i="2"/>
  <c r="H16" i="2"/>
  <c r="H15" i="2"/>
  <c r="B15" i="2"/>
  <c r="H14" i="2"/>
  <c r="B14" i="2"/>
  <c r="H13" i="2"/>
  <c r="B13" i="2"/>
  <c r="H12" i="2"/>
  <c r="B12" i="2"/>
  <c r="H11" i="2"/>
  <c r="B11" i="2"/>
  <c r="H10" i="2"/>
  <c r="K10" i="2" s="1"/>
  <c r="B10" i="2"/>
  <c r="H9" i="2"/>
  <c r="K9" i="2" s="1"/>
  <c r="B9" i="2"/>
  <c r="H8" i="2"/>
  <c r="K8" i="2" s="1"/>
  <c r="B8" i="2"/>
  <c r="H7" i="2"/>
  <c r="K7" i="2" s="1"/>
  <c r="B7" i="2"/>
  <c r="L6" i="2"/>
  <c r="H6" i="2"/>
  <c r="B6" i="2"/>
  <c r="H5" i="2"/>
  <c r="K5" i="2" s="1"/>
  <c r="B5" i="2"/>
  <c r="H4" i="2"/>
  <c r="B4" i="2"/>
  <c r="D32" i="5" l="1"/>
  <c r="E32" i="5" s="1"/>
  <c r="F24" i="7"/>
  <c r="I14" i="17"/>
  <c r="P3" i="17"/>
  <c r="P5" i="17" s="1"/>
  <c r="J4" i="17"/>
  <c r="J9" i="17"/>
  <c r="N9" i="17"/>
  <c r="O9" i="17" s="1"/>
  <c r="K9" i="17"/>
  <c r="J5" i="17"/>
  <c r="N5" i="17" s="1"/>
  <c r="O5" i="17" s="1"/>
  <c r="J6" i="17"/>
  <c r="N6" i="17" s="1"/>
  <c r="O6" i="17" s="1"/>
  <c r="J13" i="17"/>
  <c r="K13" i="17" s="1"/>
  <c r="N13" i="17"/>
  <c r="O13" i="17" s="1"/>
  <c r="Q13" i="17" s="1"/>
  <c r="P7" i="17"/>
  <c r="J7" i="17"/>
  <c r="K7" i="17" s="1"/>
  <c r="J8" i="17"/>
  <c r="N8" i="17" s="1"/>
  <c r="O8" i="17" s="1"/>
  <c r="G14" i="17"/>
  <c r="K24" i="7"/>
  <c r="K25" i="7" s="1"/>
  <c r="D56" i="5"/>
  <c r="D69" i="5" s="1"/>
  <c r="K13" i="2"/>
  <c r="H65" i="2"/>
  <c r="K4" i="2"/>
  <c r="K6" i="2"/>
  <c r="L7" i="2"/>
  <c r="L11" i="2"/>
  <c r="K11" i="2"/>
  <c r="I38" i="2"/>
  <c r="I65" i="2" s="1"/>
  <c r="E65" i="2"/>
  <c r="E1" i="2" s="1"/>
  <c r="F65" i="2"/>
  <c r="G1" i="2" s="1"/>
  <c r="T14" i="11"/>
  <c r="T13" i="11"/>
  <c r="T12" i="11"/>
  <c r="T11" i="11"/>
  <c r="T10" i="11"/>
  <c r="T9" i="11"/>
  <c r="T8" i="11"/>
  <c r="T7" i="11"/>
  <c r="T6" i="11"/>
  <c r="T5" i="11"/>
  <c r="T4" i="11"/>
  <c r="H16" i="11"/>
  <c r="D71" i="5" l="1"/>
  <c r="Q5" i="17"/>
  <c r="N7" i="17"/>
  <c r="O7" i="17" s="1"/>
  <c r="K5" i="17"/>
  <c r="Q7" i="17"/>
  <c r="J14" i="17"/>
  <c r="P4" i="17"/>
  <c r="Q4" i="17" s="1"/>
  <c r="K6" i="17"/>
  <c r="K8" i="17"/>
  <c r="J22" i="17"/>
  <c r="K19" i="17"/>
  <c r="P6" i="17"/>
  <c r="Q6" i="17" s="1"/>
  <c r="K4" i="17"/>
  <c r="K14" i="17" s="1"/>
  <c r="J23" i="17" s="1"/>
  <c r="P8" i="17"/>
  <c r="Q8" i="17" s="1"/>
  <c r="N4" i="17"/>
  <c r="I1" i="2"/>
  <c r="D66" i="2"/>
  <c r="H17" i="11"/>
  <c r="H18" i="11" s="1"/>
  <c r="J25" i="17" l="1"/>
  <c r="Q14" i="17"/>
  <c r="K20" i="17"/>
  <c r="K25" i="17" s="1"/>
  <c r="O4" i="17"/>
  <c r="O14" i="17" s="1"/>
  <c r="N14" i="17"/>
  <c r="J11" i="12"/>
  <c r="L4" i="12"/>
  <c r="E30" i="20" l="1"/>
  <c r="F106" i="14"/>
  <c r="J43" i="12"/>
  <c r="I43" i="12"/>
  <c r="H43" i="12"/>
  <c r="P35" i="18"/>
  <c r="K31" i="12"/>
  <c r="F56" i="12" l="1"/>
  <c r="Q61" i="9"/>
  <c r="Q5" i="9"/>
  <c r="M15" i="11"/>
  <c r="E37" i="8"/>
  <c r="E29" i="8"/>
  <c r="E57" i="8"/>
  <c r="F46" i="12"/>
  <c r="D30" i="20" l="1"/>
  <c r="H5" i="20"/>
  <c r="J4" i="14"/>
  <c r="J7" i="14"/>
  <c r="F5" i="20" l="1"/>
  <c r="F6" i="20" s="1"/>
  <c r="F7" i="20" s="1"/>
  <c r="F8" i="20" s="1"/>
  <c r="F9" i="20" s="1"/>
  <c r="F10" i="20" s="1"/>
  <c r="F11" i="20" s="1"/>
  <c r="F12" i="20" s="1"/>
  <c r="F13" i="20" s="1"/>
  <c r="F14" i="20" s="1"/>
  <c r="F15" i="20" s="1"/>
  <c r="F16" i="20" s="1"/>
  <c r="F17" i="20" s="1"/>
  <c r="F18" i="20" s="1"/>
  <c r="F19" i="20" s="1"/>
  <c r="F20" i="20" s="1"/>
  <c r="F21" i="20" s="1"/>
  <c r="F22" i="20" s="1"/>
  <c r="F23" i="20" s="1"/>
  <c r="F24" i="20" s="1"/>
  <c r="F25" i="20" s="1"/>
  <c r="F26" i="20" s="1"/>
  <c r="F27" i="20" s="1"/>
  <c r="F28" i="20" s="1"/>
  <c r="F29" i="20" s="1"/>
  <c r="M39" i="12" l="1"/>
  <c r="M7" i="12"/>
  <c r="M9" i="12"/>
  <c r="M10" i="12"/>
  <c r="M4" i="12"/>
  <c r="M6" i="12"/>
  <c r="M12" i="12"/>
  <c r="M13" i="12"/>
  <c r="M14" i="12"/>
  <c r="M16" i="12"/>
  <c r="M17" i="12"/>
  <c r="M19" i="12"/>
  <c r="M20" i="12"/>
  <c r="M22" i="12"/>
  <c r="M23" i="12"/>
  <c r="M25" i="12"/>
  <c r="M26" i="12"/>
  <c r="M28" i="12"/>
  <c r="M29" i="12"/>
  <c r="M31" i="12"/>
  <c r="M32" i="12"/>
  <c r="M34" i="12"/>
  <c r="M35" i="12"/>
  <c r="M37" i="12"/>
  <c r="M38" i="12"/>
  <c r="M3" i="12"/>
  <c r="L39" i="12"/>
  <c r="K3" i="12" l="1"/>
  <c r="K4" i="12"/>
  <c r="K5" i="12"/>
  <c r="K6" i="12"/>
  <c r="K7" i="12"/>
  <c r="K8" i="12"/>
  <c r="K9" i="12"/>
  <c r="K10" i="12"/>
  <c r="K11" i="12"/>
  <c r="K12" i="12"/>
  <c r="K13" i="12"/>
  <c r="K14" i="12"/>
  <c r="K15" i="12"/>
  <c r="K16" i="12"/>
  <c r="K17" i="12"/>
  <c r="K18" i="12"/>
  <c r="K19" i="12"/>
  <c r="K20" i="12"/>
  <c r="K21" i="12"/>
  <c r="K22" i="12"/>
  <c r="K23" i="12"/>
  <c r="K24" i="12"/>
  <c r="K25" i="12"/>
  <c r="K26" i="12"/>
  <c r="K27" i="12"/>
  <c r="K28" i="12"/>
  <c r="K29" i="12"/>
  <c r="K30" i="12"/>
  <c r="K32" i="12"/>
  <c r="K33" i="12"/>
  <c r="K34" i="12"/>
  <c r="K35" i="12"/>
  <c r="K36" i="12"/>
  <c r="K37" i="12"/>
  <c r="K38" i="12"/>
  <c r="K39" i="12"/>
  <c r="F3" i="12"/>
  <c r="B21" i="20"/>
  <c r="B19" i="20"/>
  <c r="B14" i="20"/>
  <c r="B20" i="20"/>
  <c r="B17" i="20"/>
  <c r="B7" i="20"/>
  <c r="G51" i="12"/>
  <c r="Q6" i="18"/>
  <c r="H29" i="18"/>
  <c r="P5" i="18"/>
  <c r="Q31" i="18"/>
  <c r="D17" i="11" s="1"/>
  <c r="O34" i="18"/>
  <c r="Q28" i="18"/>
  <c r="Q29" i="18"/>
  <c r="P30" i="18"/>
  <c r="P31" i="18"/>
  <c r="P32" i="18"/>
  <c r="P33" i="18"/>
  <c r="P36" i="18"/>
  <c r="P37" i="18"/>
  <c r="P38" i="18"/>
  <c r="P28" i="18"/>
  <c r="O28" i="18"/>
  <c r="O29" i="18"/>
  <c r="Q35" i="18"/>
  <c r="Q36" i="18"/>
  <c r="Q37" i="18"/>
  <c r="Q38" i="18"/>
  <c r="O52" i="18"/>
  <c r="O49" i="18"/>
  <c r="O24" i="18"/>
  <c r="Q9" i="18"/>
  <c r="Q33" i="18" s="1"/>
  <c r="Q7" i="18"/>
  <c r="Q32" i="18" s="1"/>
  <c r="H19" i="18"/>
  <c r="P14" i="18"/>
  <c r="P15" i="18"/>
  <c r="I19" i="18"/>
  <c r="I3" i="18"/>
  <c r="K10" i="18"/>
  <c r="Q73" i="19"/>
  <c r="Q72" i="19"/>
  <c r="Q77" i="19"/>
  <c r="L71" i="19"/>
  <c r="K70" i="19"/>
  <c r="J70" i="19"/>
  <c r="I70" i="19"/>
  <c r="H70" i="19"/>
  <c r="G70" i="19"/>
  <c r="R69" i="19"/>
  <c r="P69" i="19"/>
  <c r="O69" i="19"/>
  <c r="N69" i="19"/>
  <c r="M69" i="19"/>
  <c r="L69" i="19"/>
  <c r="Q67" i="19"/>
  <c r="Q66" i="19"/>
  <c r="Q70" i="19" s="1"/>
  <c r="Q65" i="19"/>
  <c r="Q64" i="19"/>
  <c r="Q63" i="19"/>
  <c r="Q62" i="19"/>
  <c r="Q61" i="19"/>
  <c r="Q60" i="19"/>
  <c r="Q59" i="19"/>
  <c r="Q58" i="19"/>
  <c r="Q57" i="19"/>
  <c r="Q56" i="19"/>
  <c r="Q55" i="19"/>
  <c r="Q54" i="19"/>
  <c r="Q53" i="19"/>
  <c r="Q52" i="19"/>
  <c r="Q51" i="19"/>
  <c r="Q50" i="19"/>
  <c r="Q49" i="19"/>
  <c r="Q48" i="19"/>
  <c r="Q47" i="19"/>
  <c r="Q46" i="19"/>
  <c r="Q45" i="19"/>
  <c r="Q44" i="19"/>
  <c r="Q43" i="19"/>
  <c r="Q42" i="19"/>
  <c r="Q41" i="19"/>
  <c r="Q40" i="19"/>
  <c r="Q39" i="19"/>
  <c r="Q38" i="19"/>
  <c r="Q37" i="19"/>
  <c r="Q36" i="19"/>
  <c r="Q35" i="19"/>
  <c r="Q34" i="19"/>
  <c r="Q33" i="19"/>
  <c r="Q32" i="19"/>
  <c r="Q31" i="19"/>
  <c r="Q30" i="19"/>
  <c r="Q29" i="19"/>
  <c r="Q28" i="19"/>
  <c r="Q27" i="19"/>
  <c r="Q26" i="19"/>
  <c r="Q25" i="19"/>
  <c r="Q69" i="19" s="1"/>
  <c r="Q24" i="19"/>
  <c r="Q23" i="19"/>
  <c r="Q21" i="19"/>
  <c r="Q18" i="19"/>
  <c r="Q17" i="19"/>
  <c r="Q16" i="19"/>
  <c r="Q15" i="19"/>
  <c r="Q14" i="19"/>
  <c r="Q13" i="19"/>
  <c r="L9" i="19"/>
  <c r="G9" i="19"/>
  <c r="F9" i="19"/>
  <c r="G7" i="19"/>
  <c r="F7" i="19"/>
  <c r="O5" i="19" s="1"/>
  <c r="E7" i="19"/>
  <c r="E9" i="19" s="1"/>
  <c r="D7" i="19"/>
  <c r="D9" i="19" s="1"/>
  <c r="C7" i="19"/>
  <c r="C9" i="19" s="1"/>
  <c r="P5" i="19"/>
  <c r="G5" i="19"/>
  <c r="F5" i="19"/>
  <c r="E5" i="19"/>
  <c r="D5" i="19"/>
  <c r="M7" i="19" s="1"/>
  <c r="C5" i="19"/>
  <c r="Q29" i="9"/>
  <c r="Q67" i="9"/>
  <c r="O17" i="18"/>
  <c r="M59" i="9"/>
  <c r="D7" i="9" s="1"/>
  <c r="N59" i="9"/>
  <c r="O59" i="9"/>
  <c r="P59" i="9"/>
  <c r="L59" i="9"/>
  <c r="C46" i="18"/>
  <c r="C44" i="18"/>
  <c r="J18" i="18"/>
  <c r="K18" i="18" s="1"/>
  <c r="I18" i="18"/>
  <c r="J17" i="18"/>
  <c r="K17" i="18" s="1"/>
  <c r="I17" i="18"/>
  <c r="J27" i="18"/>
  <c r="I27" i="18"/>
  <c r="P20" i="18" s="1"/>
  <c r="P29" i="18" s="1"/>
  <c r="J15" i="18"/>
  <c r="I15" i="18"/>
  <c r="L15" i="18" s="1"/>
  <c r="H15" i="18"/>
  <c r="J14" i="18"/>
  <c r="K14" i="18" s="1"/>
  <c r="I14" i="18"/>
  <c r="L14" i="18" s="1"/>
  <c r="J13" i="18"/>
  <c r="K13" i="18" s="1"/>
  <c r="I13" i="18"/>
  <c r="J12" i="18"/>
  <c r="K12" i="18" s="1"/>
  <c r="I12" i="18"/>
  <c r="J11" i="18"/>
  <c r="K11" i="18" s="1"/>
  <c r="I11" i="18"/>
  <c r="J10" i="18"/>
  <c r="I10" i="18"/>
  <c r="J9" i="18"/>
  <c r="K9" i="18" s="1"/>
  <c r="I9" i="18"/>
  <c r="J8" i="18"/>
  <c r="K8" i="18" s="1"/>
  <c r="I8" i="18"/>
  <c r="J7" i="18"/>
  <c r="K7" i="18" s="1"/>
  <c r="I7" i="18"/>
  <c r="L7" i="18" s="1"/>
  <c r="J6" i="18"/>
  <c r="K6" i="18" s="1"/>
  <c r="G6" i="18"/>
  <c r="I6" i="18" s="1"/>
  <c r="J5" i="18"/>
  <c r="K5" i="18" s="1"/>
  <c r="I5" i="18"/>
  <c r="J4" i="18"/>
  <c r="K4" i="18" s="1"/>
  <c r="I4" i="18"/>
  <c r="J3" i="18"/>
  <c r="G3" i="18"/>
  <c r="J2" i="18"/>
  <c r="K2" i="18" s="1"/>
  <c r="I2" i="18"/>
  <c r="L9" i="1"/>
  <c r="L8" i="1"/>
  <c r="L7" i="1"/>
  <c r="L6" i="1"/>
  <c r="L5" i="1"/>
  <c r="K15" i="18" l="1"/>
  <c r="K19" i="18" s="1"/>
  <c r="J19" i="18"/>
  <c r="K27" i="18"/>
  <c r="P25" i="18"/>
  <c r="L19" i="18"/>
  <c r="Q71" i="19"/>
  <c r="H7" i="19"/>
  <c r="L5" i="19"/>
  <c r="M5" i="19"/>
  <c r="N5" i="19"/>
  <c r="P21" i="18"/>
  <c r="H66" i="18"/>
  <c r="H77" i="18"/>
  <c r="H70" i="18"/>
  <c r="H67" i="18"/>
  <c r="H68" i="18"/>
  <c r="H69" i="18"/>
  <c r="H71" i="18"/>
  <c r="H72" i="18"/>
  <c r="H73" i="18"/>
  <c r="H62" i="18"/>
  <c r="H74" i="18"/>
  <c r="H63" i="18"/>
  <c r="H75" i="18"/>
  <c r="H64" i="18"/>
  <c r="H76" i="18"/>
  <c r="H65" i="18"/>
  <c r="M18" i="11"/>
  <c r="M5" i="11"/>
  <c r="M4" i="11"/>
  <c r="R16" i="11"/>
  <c r="R17" i="11" s="1"/>
  <c r="L5" i="11"/>
  <c r="L7" i="11"/>
  <c r="L8" i="11"/>
  <c r="L9" i="11"/>
  <c r="L10" i="11"/>
  <c r="L11" i="11"/>
  <c r="L12" i="11"/>
  <c r="L13" i="11"/>
  <c r="L14" i="11"/>
  <c r="L15" i="11"/>
  <c r="L4" i="11"/>
  <c r="S17" i="11"/>
  <c r="S16" i="11"/>
  <c r="G41" i="15"/>
  <c r="O36" i="15"/>
  <c r="O37" i="15"/>
  <c r="N35" i="15"/>
  <c r="N37" i="15"/>
  <c r="N36" i="15"/>
  <c r="I32" i="15"/>
  <c r="K32" i="15"/>
  <c r="H32" i="15"/>
  <c r="K18" i="15"/>
  <c r="I19" i="15"/>
  <c r="I18" i="15"/>
  <c r="H20" i="15"/>
  <c r="H19" i="15"/>
  <c r="F6" i="15"/>
  <c r="Q62" i="9" l="1"/>
  <c r="J29" i="18"/>
  <c r="J32" i="18" s="1"/>
  <c r="J33" i="18" s="1"/>
  <c r="Q23" i="18"/>
  <c r="Q34" i="18" s="1"/>
  <c r="I20" i="18"/>
  <c r="Q5" i="19"/>
  <c r="S18" i="11"/>
  <c r="J30" i="18" l="1"/>
  <c r="I21" i="18"/>
  <c r="I22" i="18" s="1"/>
  <c r="Q22" i="18"/>
  <c r="Q25" i="18" l="1"/>
  <c r="P26" i="18" s="1"/>
  <c r="Q30" i="18"/>
  <c r="Q39" i="18" s="1"/>
  <c r="P6" i="15" l="1"/>
  <c r="P43" i="15"/>
  <c r="K14" i="15"/>
  <c r="P8" i="15"/>
  <c r="P7" i="15"/>
  <c r="R7" i="15"/>
  <c r="R6" i="15"/>
  <c r="P14" i="15"/>
  <c r="R14" i="15"/>
  <c r="I41" i="15"/>
  <c r="J41" i="15" s="1"/>
  <c r="E41" i="15"/>
  <c r="L38" i="15"/>
  <c r="K38" i="15"/>
  <c r="M38" i="15"/>
  <c r="L36" i="15"/>
  <c r="M36" i="15"/>
  <c r="L37" i="15"/>
  <c r="M37" i="15"/>
  <c r="M35" i="15"/>
  <c r="L35" i="15"/>
  <c r="E105" i="14"/>
  <c r="F105" i="14"/>
  <c r="N37" i="1"/>
  <c r="G44" i="12"/>
  <c r="G45" i="12"/>
  <c r="F55" i="12"/>
  <c r="F54" i="12"/>
  <c r="G43" i="12"/>
  <c r="F37" i="12"/>
  <c r="F43" i="12"/>
  <c r="L41" i="15" l="1"/>
  <c r="K41" i="15" s="1"/>
  <c r="R8" i="15"/>
  <c r="C45" i="12"/>
  <c r="C43" i="12"/>
  <c r="C44" i="12"/>
  <c r="R59" i="9"/>
  <c r="C46" i="12"/>
  <c r="I44" i="12"/>
  <c r="J44" i="12" s="1"/>
  <c r="G37" i="12"/>
  <c r="I45" i="12"/>
  <c r="J45" i="12" s="1"/>
  <c r="H45" i="12"/>
  <c r="F44" i="12"/>
  <c r="F45" i="12"/>
  <c r="E44" i="12"/>
  <c r="E45" i="12"/>
  <c r="E43" i="12"/>
  <c r="D45" i="12"/>
  <c r="D44" i="12"/>
  <c r="D43" i="12"/>
  <c r="G40" i="12"/>
  <c r="D40" i="12"/>
  <c r="E40" i="12"/>
  <c r="F40" i="12"/>
  <c r="H40" i="12"/>
  <c r="I40" i="12"/>
  <c r="C40" i="12"/>
  <c r="D39" i="12"/>
  <c r="E39" i="12"/>
  <c r="F39" i="12"/>
  <c r="G39" i="12"/>
  <c r="H39" i="12"/>
  <c r="I39" i="12"/>
  <c r="C39" i="12"/>
  <c r="C33" i="12"/>
  <c r="H38" i="12"/>
  <c r="I38" i="12" s="1"/>
  <c r="E38" i="12"/>
  <c r="J37" i="12"/>
  <c r="I37" i="12"/>
  <c r="H37" i="12"/>
  <c r="E37" i="12"/>
  <c r="D36" i="12"/>
  <c r="C36" i="12"/>
  <c r="H35" i="12"/>
  <c r="I35" i="12" s="1"/>
  <c r="E35" i="12"/>
  <c r="J34" i="12"/>
  <c r="H34" i="12"/>
  <c r="H36" i="12" s="1"/>
  <c r="E34" i="12"/>
  <c r="G34" i="12" s="1"/>
  <c r="G36" i="12" s="1"/>
  <c r="D33" i="12"/>
  <c r="H32" i="12"/>
  <c r="I32" i="12" s="1"/>
  <c r="E32" i="12"/>
  <c r="J31" i="12"/>
  <c r="H31" i="12"/>
  <c r="H33" i="12" s="1"/>
  <c r="E31" i="12"/>
  <c r="G31" i="12" s="1"/>
  <c r="G33" i="12" s="1"/>
  <c r="C30" i="12"/>
  <c r="M49" i="12"/>
  <c r="L49" i="12"/>
  <c r="M48" i="12"/>
  <c r="L48" i="12"/>
  <c r="M47" i="12"/>
  <c r="L47" i="12"/>
  <c r="M46" i="12"/>
  <c r="L46" i="12"/>
  <c r="M45" i="12"/>
  <c r="L45" i="12"/>
  <c r="M44" i="12"/>
  <c r="L44" i="12"/>
  <c r="H44" i="12"/>
  <c r="B44" i="12"/>
  <c r="M43" i="12"/>
  <c r="L43" i="12"/>
  <c r="K43" i="12"/>
  <c r="B43" i="12"/>
  <c r="D30" i="12"/>
  <c r="H29" i="12"/>
  <c r="I29" i="12" s="1"/>
  <c r="E29" i="12"/>
  <c r="J28" i="12"/>
  <c r="H28" i="12"/>
  <c r="I28" i="12" s="1"/>
  <c r="E28" i="12"/>
  <c r="G28" i="12" s="1"/>
  <c r="G30" i="12" s="1"/>
  <c r="D27" i="12"/>
  <c r="C27" i="12"/>
  <c r="H26" i="12"/>
  <c r="I26" i="12" s="1"/>
  <c r="E26" i="12"/>
  <c r="H25" i="12"/>
  <c r="I25" i="12" s="1"/>
  <c r="I27" i="12" s="1"/>
  <c r="E25" i="12"/>
  <c r="G25" i="12" s="1"/>
  <c r="G27" i="12" s="1"/>
  <c r="D24" i="12"/>
  <c r="C24" i="12"/>
  <c r="H23" i="12"/>
  <c r="E23" i="12"/>
  <c r="H22" i="12"/>
  <c r="I22" i="12" s="1"/>
  <c r="E22" i="12"/>
  <c r="G22" i="12" s="1"/>
  <c r="G24" i="12" s="1"/>
  <c r="C21" i="12"/>
  <c r="H20" i="12"/>
  <c r="D20" i="12"/>
  <c r="E20" i="12" s="1"/>
  <c r="H19" i="12"/>
  <c r="D19" i="12"/>
  <c r="I19" i="12" s="1"/>
  <c r="C18" i="12"/>
  <c r="H17" i="12"/>
  <c r="D17" i="12"/>
  <c r="H16" i="12"/>
  <c r="D16" i="12"/>
  <c r="E16" i="12" s="1"/>
  <c r="C15" i="12"/>
  <c r="H14" i="12"/>
  <c r="D14" i="12"/>
  <c r="E14" i="12" s="1"/>
  <c r="H13" i="12"/>
  <c r="D13" i="12"/>
  <c r="I13" i="12" s="1"/>
  <c r="H12" i="12"/>
  <c r="D12" i="12"/>
  <c r="E12" i="12" s="1"/>
  <c r="C11" i="12"/>
  <c r="H10" i="12"/>
  <c r="D10" i="12"/>
  <c r="E10" i="12" s="1"/>
  <c r="H9" i="12"/>
  <c r="H11" i="12" s="1"/>
  <c r="D9" i="12"/>
  <c r="I9" i="12" s="1"/>
  <c r="C8" i="12"/>
  <c r="H7" i="12"/>
  <c r="D7" i="12"/>
  <c r="H6" i="12"/>
  <c r="D6" i="12"/>
  <c r="E6" i="12" s="1"/>
  <c r="C5" i="12"/>
  <c r="H4" i="12"/>
  <c r="D4" i="12"/>
  <c r="E4" i="12" s="1"/>
  <c r="H3" i="12"/>
  <c r="D3" i="12"/>
  <c r="I3" i="12" s="1"/>
  <c r="H21" i="12" l="1"/>
  <c r="I34" i="12"/>
  <c r="I36" i="12" s="1"/>
  <c r="E36" i="12"/>
  <c r="I31" i="12"/>
  <c r="I33" i="12" s="1"/>
  <c r="E33" i="12"/>
  <c r="H27" i="12"/>
  <c r="I30" i="12"/>
  <c r="F34" i="12"/>
  <c r="F36" i="12" s="1"/>
  <c r="E24" i="12"/>
  <c r="H24" i="12"/>
  <c r="H15" i="12"/>
  <c r="H46" i="12"/>
  <c r="F31" i="12"/>
  <c r="F33" i="12" s="1"/>
  <c r="F25" i="12"/>
  <c r="F27" i="12" s="1"/>
  <c r="I14" i="12"/>
  <c r="H30" i="12"/>
  <c r="H5" i="12"/>
  <c r="I6" i="12"/>
  <c r="D8" i="12"/>
  <c r="E30" i="12"/>
  <c r="E27" i="12"/>
  <c r="I10" i="12"/>
  <c r="I11" i="12" s="1"/>
  <c r="H18" i="12"/>
  <c r="H8" i="12"/>
  <c r="I20" i="12"/>
  <c r="I21" i="12" s="1"/>
  <c r="D21" i="12"/>
  <c r="D5" i="12"/>
  <c r="D18" i="12"/>
  <c r="F20" i="12"/>
  <c r="F21" i="12" s="1"/>
  <c r="G20" i="12"/>
  <c r="G21" i="12" s="1"/>
  <c r="F12" i="12"/>
  <c r="G12" i="12"/>
  <c r="F14" i="12"/>
  <c r="J14" i="12" s="1"/>
  <c r="G14" i="12"/>
  <c r="F6" i="12"/>
  <c r="F8" i="12" s="1"/>
  <c r="G6" i="12"/>
  <c r="G8" i="12" s="1"/>
  <c r="I4" i="12"/>
  <c r="I5" i="12" s="1"/>
  <c r="I16" i="12"/>
  <c r="E17" i="12"/>
  <c r="E18" i="12" s="1"/>
  <c r="I23" i="12"/>
  <c r="I24" i="12" s="1"/>
  <c r="F28" i="12"/>
  <c r="F30" i="12" s="1"/>
  <c r="E7" i="12"/>
  <c r="E8" i="12" s="1"/>
  <c r="E13" i="12"/>
  <c r="E15" i="12" s="1"/>
  <c r="E19" i="12"/>
  <c r="E21" i="12" s="1"/>
  <c r="I17" i="12"/>
  <c r="D15" i="12"/>
  <c r="I7" i="12"/>
  <c r="F22" i="12"/>
  <c r="F24" i="12" s="1"/>
  <c r="D49" i="12"/>
  <c r="E49" i="12" s="1"/>
  <c r="D11" i="12"/>
  <c r="I12" i="12"/>
  <c r="E9" i="12"/>
  <c r="E3" i="12"/>
  <c r="I8" i="12" l="1"/>
  <c r="I15" i="12"/>
  <c r="C47" i="12"/>
  <c r="E46" i="12"/>
  <c r="G15" i="12"/>
  <c r="F15" i="12"/>
  <c r="I18" i="12"/>
  <c r="G3" i="12"/>
  <c r="E5" i="12"/>
  <c r="F9" i="12"/>
  <c r="G9" i="12"/>
  <c r="G11" i="12" s="1"/>
  <c r="E11" i="12"/>
  <c r="D46" i="12"/>
  <c r="D47" i="12" s="1"/>
  <c r="G17" i="12"/>
  <c r="G18" i="12" s="1"/>
  <c r="F17" i="12"/>
  <c r="F18" i="12" s="1"/>
  <c r="E47" i="12" l="1"/>
  <c r="F11" i="12"/>
  <c r="F5" i="12"/>
  <c r="G5" i="12"/>
  <c r="I46" i="12"/>
  <c r="J46" i="12" l="1"/>
  <c r="G46" i="12"/>
  <c r="G53" i="12" s="1"/>
  <c r="K40" i="12" s="1"/>
  <c r="L40" i="12" s="1"/>
  <c r="G52" i="12" l="1"/>
  <c r="G56" i="12" s="1"/>
  <c r="G57" i="12" s="1"/>
  <c r="Q57" i="9" l="1"/>
  <c r="L61" i="9"/>
  <c r="Q56" i="9"/>
  <c r="Q60" i="9" s="1"/>
  <c r="H60" i="9"/>
  <c r="I60" i="9"/>
  <c r="J60" i="9"/>
  <c r="K60" i="9"/>
  <c r="G60" i="9"/>
  <c r="Q50" i="9" l="1"/>
  <c r="Q51" i="9"/>
  <c r="Q52" i="9"/>
  <c r="Q53" i="9"/>
  <c r="Q54" i="9"/>
  <c r="Q55" i="9"/>
  <c r="Q42" i="9"/>
  <c r="Q43" i="9"/>
  <c r="Q44" i="9"/>
  <c r="Q45" i="9"/>
  <c r="Q46" i="9"/>
  <c r="Q47" i="9"/>
  <c r="Q48" i="9"/>
  <c r="Q49" i="9"/>
  <c r="Q33" i="9"/>
  <c r="Q34" i="9"/>
  <c r="Q35" i="9"/>
  <c r="Q36" i="9"/>
  <c r="Q37" i="9"/>
  <c r="Q38" i="9"/>
  <c r="Q39" i="9"/>
  <c r="Q40" i="9"/>
  <c r="Q41" i="9"/>
  <c r="Q31" i="9"/>
  <c r="Q32" i="9"/>
  <c r="Q30" i="9"/>
  <c r="L9" i="9"/>
  <c r="Q13" i="9"/>
  <c r="E5" i="9"/>
  <c r="D5" i="9"/>
  <c r="M7" i="9" s="1"/>
  <c r="Q8" i="15"/>
  <c r="C5" i="9" s="1"/>
  <c r="Q7" i="15"/>
  <c r="N16" i="11"/>
  <c r="D39" i="1"/>
  <c r="C39" i="1"/>
  <c r="B39" i="1"/>
  <c r="G37" i="1"/>
  <c r="F37" i="1"/>
  <c r="D37" i="1"/>
  <c r="C37" i="1"/>
  <c r="B37" i="1"/>
  <c r="I36" i="1"/>
  <c r="G36" i="1"/>
  <c r="F36" i="1"/>
  <c r="D36" i="1"/>
  <c r="C36" i="1"/>
  <c r="B36" i="1"/>
  <c r="P35" i="1"/>
  <c r="O35" i="1"/>
  <c r="B35" i="1"/>
  <c r="N34" i="1"/>
  <c r="R34" i="1" s="1"/>
  <c r="N33" i="1"/>
  <c r="N32" i="1"/>
  <c r="R32" i="1" s="1"/>
  <c r="N31" i="1"/>
  <c r="R31" i="1" s="1"/>
  <c r="N30" i="1"/>
  <c r="R30" i="1" s="1"/>
  <c r="N29" i="1"/>
  <c r="R29" i="1" s="1"/>
  <c r="O28" i="1"/>
  <c r="N28" i="1"/>
  <c r="O27" i="1"/>
  <c r="N27" i="1"/>
  <c r="Q26" i="1"/>
  <c r="Q37" i="1" s="1"/>
  <c r="O26" i="1"/>
  <c r="N26" i="1"/>
  <c r="N25" i="1"/>
  <c r="R25" i="1" s="1"/>
  <c r="N24" i="1"/>
  <c r="R24" i="1" s="1"/>
  <c r="P23" i="1"/>
  <c r="O23" i="1"/>
  <c r="N23" i="1"/>
  <c r="P22" i="1"/>
  <c r="N21" i="1"/>
  <c r="R21" i="1" s="1"/>
  <c r="N20" i="1"/>
  <c r="R20" i="1" s="1"/>
  <c r="N19" i="1"/>
  <c r="R19" i="1" s="1"/>
  <c r="N18" i="1"/>
  <c r="R18" i="1" s="1"/>
  <c r="N17" i="1"/>
  <c r="R17" i="1" s="1"/>
  <c r="N16" i="1"/>
  <c r="R16" i="1" s="1"/>
  <c r="O15" i="1"/>
  <c r="R15" i="1" s="1"/>
  <c r="O14" i="1"/>
  <c r="N14" i="1"/>
  <c r="O13" i="1"/>
  <c r="N13" i="1"/>
  <c r="E37" i="1"/>
  <c r="M37" i="1"/>
  <c r="L37" i="1"/>
  <c r="K37" i="1"/>
  <c r="J37" i="1"/>
  <c r="I37" i="1"/>
  <c r="N11" i="1"/>
  <c r="P10" i="1"/>
  <c r="N10" i="1"/>
  <c r="O9" i="1"/>
  <c r="O1" i="1" s="1"/>
  <c r="N9" i="1"/>
  <c r="N8" i="1"/>
  <c r="R8" i="1" s="1"/>
  <c r="N7" i="1"/>
  <c r="R7" i="1" s="1"/>
  <c r="N6" i="1"/>
  <c r="R6" i="1" s="1"/>
  <c r="Q5" i="1"/>
  <c r="L36" i="1"/>
  <c r="E36" i="1"/>
  <c r="O4" i="1"/>
  <c r="M36" i="1"/>
  <c r="H36" i="1"/>
  <c r="I38" i="15"/>
  <c r="J38" i="15"/>
  <c r="E38" i="15"/>
  <c r="F39" i="15"/>
  <c r="F7" i="9"/>
  <c r="E7" i="9"/>
  <c r="D9" i="9"/>
  <c r="C7" i="9"/>
  <c r="Q14" i="9"/>
  <c r="G7" i="9"/>
  <c r="Q28" i="9"/>
  <c r="Q27" i="9"/>
  <c r="Q26" i="9"/>
  <c r="Q25" i="9"/>
  <c r="Q24" i="9"/>
  <c r="Q23" i="9"/>
  <c r="Q22" i="9"/>
  <c r="Q20" i="9"/>
  <c r="Q17" i="9"/>
  <c r="Q16" i="9"/>
  <c r="Q15" i="9"/>
  <c r="Q18" i="15"/>
  <c r="G5" i="9" s="1"/>
  <c r="H18" i="15"/>
  <c r="Q13" i="15"/>
  <c r="Q16" i="15"/>
  <c r="Q17" i="15"/>
  <c r="Q12" i="15"/>
  <c r="R18" i="15"/>
  <c r="K19" i="15"/>
  <c r="R19" i="15" s="1"/>
  <c r="Q19" i="15" s="1"/>
  <c r="F5" i="9" s="1"/>
  <c r="F19" i="15"/>
  <c r="F18" i="15"/>
  <c r="Q6" i="15"/>
  <c r="H12" i="15"/>
  <c r="H13" i="15"/>
  <c r="I12" i="15"/>
  <c r="F13" i="15"/>
  <c r="F12" i="15"/>
  <c r="H7" i="15"/>
  <c r="H6" i="15"/>
  <c r="F7" i="15"/>
  <c r="R26" i="1" l="1"/>
  <c r="R10" i="1"/>
  <c r="Q59" i="9"/>
  <c r="P11" i="18"/>
  <c r="M5" i="9"/>
  <c r="N5" i="9"/>
  <c r="L5" i="9"/>
  <c r="H7" i="9"/>
  <c r="G9" i="9"/>
  <c r="P5" i="9"/>
  <c r="F9" i="9"/>
  <c r="O5" i="9"/>
  <c r="C9" i="9"/>
  <c r="R9" i="1"/>
  <c r="R14" i="1"/>
  <c r="R20" i="15"/>
  <c r="O44" i="15" s="1"/>
  <c r="R27" i="1"/>
  <c r="R28" i="1"/>
  <c r="O37" i="1"/>
  <c r="P36" i="1"/>
  <c r="P1" i="1"/>
  <c r="O36" i="1"/>
  <c r="R22" i="1"/>
  <c r="P37" i="1"/>
  <c r="Q36" i="1"/>
  <c r="Q38" i="1" s="1"/>
  <c r="Q39" i="1" s="1"/>
  <c r="Q1" i="1"/>
  <c r="R13" i="1"/>
  <c r="E9" i="9"/>
  <c r="B38" i="1"/>
  <c r="C38" i="1" s="1"/>
  <c r="R11" i="1"/>
  <c r="J36" i="1"/>
  <c r="K36" i="1"/>
  <c r="H37" i="1"/>
  <c r="N5" i="1"/>
  <c r="N12" i="1"/>
  <c r="R12" i="1" s="1"/>
  <c r="N4" i="1"/>
  <c r="N35" i="1"/>
  <c r="L12" i="15"/>
  <c r="T11" i="1" l="1"/>
  <c r="B40" i="1"/>
  <c r="E46" i="8"/>
  <c r="E45" i="8" s="1"/>
  <c r="O38" i="1"/>
  <c r="O39" i="1" s="1"/>
  <c r="E50" i="8"/>
  <c r="E49" i="8" s="1"/>
  <c r="P38" i="1"/>
  <c r="P39" i="1" s="1"/>
  <c r="R5" i="1"/>
  <c r="N1" i="1"/>
  <c r="R35" i="1"/>
  <c r="R37" i="1"/>
  <c r="D38" i="1"/>
  <c r="C40" i="1"/>
  <c r="R4" i="1"/>
  <c r="N36" i="1"/>
  <c r="R36" i="1" s="1"/>
  <c r="R39" i="1" l="1"/>
  <c r="E16" i="8"/>
  <c r="E54" i="8"/>
  <c r="E9" i="8"/>
  <c r="P10" i="18"/>
  <c r="N38" i="1"/>
  <c r="R38" i="1" s="1"/>
  <c r="E39" i="1"/>
  <c r="F39" i="1" s="1"/>
  <c r="D40" i="1"/>
  <c r="E38" i="1"/>
  <c r="L18" i="15"/>
  <c r="L19" i="15"/>
  <c r="P19" i="15" s="1"/>
  <c r="S6" i="15"/>
  <c r="H38" i="15"/>
  <c r="G4" i="16"/>
  <c r="F4" i="16"/>
  <c r="F5" i="16"/>
  <c r="F6" i="16"/>
  <c r="E6" i="16"/>
  <c r="E26" i="8" l="1"/>
  <c r="P39" i="18"/>
  <c r="Q40" i="18" s="1"/>
  <c r="P18" i="15"/>
  <c r="P20" i="15" s="1"/>
  <c r="P46" i="15"/>
  <c r="P47" i="15" s="1"/>
  <c r="F38" i="1"/>
  <c r="E40" i="1"/>
  <c r="L20" i="15"/>
  <c r="E58" i="8" l="1"/>
  <c r="O45" i="15"/>
  <c r="G38" i="1"/>
  <c r="F40" i="1"/>
  <c r="G38" i="15"/>
  <c r="J42" i="15"/>
  <c r="J43" i="15" s="1"/>
  <c r="H42" i="15"/>
  <c r="F21" i="15"/>
  <c r="I21" i="15"/>
  <c r="E8" i="16"/>
  <c r="E4" i="16"/>
  <c r="J7" i="16"/>
  <c r="I7" i="16"/>
  <c r="H7" i="16"/>
  <c r="E5" i="16"/>
  <c r="E7" i="16"/>
  <c r="O47" i="15" l="1"/>
  <c r="P48" i="15" s="1"/>
  <c r="J44" i="15"/>
  <c r="H38" i="1"/>
  <c r="L32" i="15"/>
  <c r="E43" i="15"/>
  <c r="G5" i="16"/>
  <c r="G6" i="16"/>
  <c r="I38" i="1" l="1"/>
  <c r="G7" i="16"/>
  <c r="H6" i="16" s="1"/>
  <c r="K6" i="16" s="1"/>
  <c r="J38" i="1" l="1"/>
  <c r="H5" i="16"/>
  <c r="K5" i="16" s="1"/>
  <c r="H4" i="16"/>
  <c r="K4" i="16" s="1"/>
  <c r="I13" i="15"/>
  <c r="L13" i="15" s="1"/>
  <c r="K38" i="1" l="1"/>
  <c r="G16" i="11"/>
  <c r="I4" i="11"/>
  <c r="K4" i="11" s="1"/>
  <c r="I15" i="11"/>
  <c r="L38" i="1" l="1"/>
  <c r="M38" i="1" l="1"/>
  <c r="J16" i="11" l="1"/>
  <c r="K15" i="11"/>
  <c r="Q14" i="11"/>
  <c r="I14" i="11"/>
  <c r="K14" i="11" s="1"/>
  <c r="O14" i="11" s="1"/>
  <c r="E14" i="11"/>
  <c r="Q13" i="11"/>
  <c r="O13" i="11"/>
  <c r="I13" i="11"/>
  <c r="K13" i="11" s="1"/>
  <c r="E13" i="11"/>
  <c r="Q12" i="11"/>
  <c r="I12" i="11"/>
  <c r="K12" i="11" s="1"/>
  <c r="E12" i="11"/>
  <c r="C12" i="11" s="1"/>
  <c r="Q11" i="11"/>
  <c r="I11" i="11"/>
  <c r="K11" i="11" s="1"/>
  <c r="O11" i="11" s="1"/>
  <c r="E11" i="11"/>
  <c r="Q10" i="11"/>
  <c r="P10" i="11"/>
  <c r="I10" i="11"/>
  <c r="K10" i="11" s="1"/>
  <c r="E10" i="11"/>
  <c r="C10" i="11" s="1"/>
  <c r="I9" i="11"/>
  <c r="K9" i="11" s="1"/>
  <c r="O9" i="11" s="1"/>
  <c r="I8" i="11"/>
  <c r="K8" i="11" s="1"/>
  <c r="O8" i="11" s="1"/>
  <c r="I7" i="11"/>
  <c r="K7" i="11" s="1"/>
  <c r="O7" i="11" s="1"/>
  <c r="I6" i="11"/>
  <c r="K6" i="11" s="1"/>
  <c r="I5" i="11"/>
  <c r="K5" i="11" s="1"/>
  <c r="O5" i="11" s="1"/>
  <c r="O6" i="11" l="1"/>
  <c r="L6" i="11"/>
  <c r="M6" i="11" s="1"/>
  <c r="M7" i="11" s="1"/>
  <c r="M8" i="11" s="1"/>
  <c r="M9" i="11" s="1"/>
  <c r="M10" i="11" s="1"/>
  <c r="M11" i="11" s="1"/>
  <c r="M12" i="11" s="1"/>
  <c r="M13" i="11" s="1"/>
  <c r="M14" i="11" s="1"/>
  <c r="C13" i="11"/>
  <c r="P13" i="11"/>
  <c r="C11" i="11"/>
  <c r="P11" i="11"/>
  <c r="P12" i="11"/>
  <c r="P14" i="11"/>
  <c r="C14" i="11"/>
  <c r="O12" i="11"/>
  <c r="O4" i="11"/>
  <c r="K16" i="11"/>
  <c r="I16" i="11"/>
  <c r="E4" i="11" l="1"/>
  <c r="C4" i="11" s="1"/>
  <c r="Q4" i="11"/>
  <c r="D16" i="11"/>
  <c r="E9" i="11"/>
  <c r="P9" i="11"/>
  <c r="E8" i="11"/>
  <c r="P8" i="11" s="1"/>
  <c r="E5" i="11"/>
  <c r="E6" i="11"/>
  <c r="P6" i="11"/>
  <c r="E7" i="11"/>
  <c r="P7" i="11" s="1"/>
  <c r="E15" i="11"/>
  <c r="Q5" i="11"/>
  <c r="Q15" i="11"/>
  <c r="Q9" i="11"/>
  <c r="Q6" i="11"/>
  <c r="C6" i="11"/>
  <c r="C7" i="11"/>
  <c r="Q7" i="11"/>
  <c r="L16" i="11" l="1"/>
  <c r="E16" i="11"/>
  <c r="C15" i="11"/>
  <c r="C8" i="11"/>
  <c r="C5" i="11"/>
  <c r="P5" i="11"/>
  <c r="P4" i="11"/>
  <c r="C9" i="11"/>
  <c r="C16" i="11" l="1"/>
  <c r="E43" i="8" l="1"/>
  <c r="E56" i="8" s="1"/>
  <c r="R23" i="1" l="1"/>
  <c r="G39" i="1"/>
  <c r="G40" i="1" s="1"/>
  <c r="H39" i="1" l="1"/>
  <c r="H40" i="1" s="1"/>
  <c r="K39" i="1" l="1"/>
  <c r="K40" i="1" s="1"/>
  <c r="I39" i="1"/>
  <c r="I40" i="1" s="1"/>
  <c r="J39" i="1" l="1"/>
  <c r="J40" i="1" s="1"/>
  <c r="L39" i="1"/>
  <c r="L40" i="1" s="1"/>
  <c r="M39" i="1" l="1"/>
  <c r="M4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erdene gerelee</author>
  </authors>
  <commentList>
    <comment ref="A20" authorId="0" shapeId="0" xr:uid="{D83F2B85-AD66-4B2F-B3A1-8F4E87C5D6D9}">
      <text>
        <r>
          <rPr>
            <b/>
            <sz val="9"/>
            <color indexed="81"/>
            <rFont val="Tahoma"/>
            <family val="2"/>
          </rPr>
          <t>erdene gerelee:</t>
        </r>
        <r>
          <rPr>
            <sz val="9"/>
            <color indexed="81"/>
            <rFont val="Tahoma"/>
            <family val="2"/>
          </rPr>
          <t xml:space="preserve">
 gdacs.mn - 1 Жил (2025/10/29 - 2026/10/28) + DNS удирдлага + Имэйл форвард + ID Хамгаалалт</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erdene gerelee</author>
  </authors>
  <commentList>
    <comment ref="C16" authorId="0" shapeId="0" xr:uid="{CE4CF0C3-E0C6-499E-996A-18A02BCC5DFF}">
      <text>
        <r>
          <rPr>
            <b/>
            <sz val="9"/>
            <color indexed="81"/>
            <rFont val="Tahoma"/>
            <family val="2"/>
          </rPr>
          <t>erdene gerelee:</t>
        </r>
        <r>
          <rPr>
            <sz val="9"/>
            <color indexed="81"/>
            <rFont val="Tahoma"/>
            <family val="2"/>
          </rPr>
          <t xml:space="preserve">
KYUNGRO YUN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tuul tuulka</author>
  </authors>
  <commentList>
    <comment ref="N6" authorId="0" shapeId="0" xr:uid="{82544C79-6E6C-4C17-807D-1C9BAB6C1B90}">
      <text>
        <r>
          <rPr>
            <b/>
            <sz val="9"/>
            <rFont val="Tahoma"/>
            <family val="2"/>
          </rPr>
          <t>tuul tuulka:</t>
        </r>
        <r>
          <rPr>
            <sz val="9"/>
            <rFont val="Tahoma"/>
            <family val="2"/>
          </rPr>
          <t xml:space="preserve">
Баримт салгаж авсан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L17" authorId="0" shapeId="0" xr:uid="{DE0CAB3D-79A4-4C73-8E14-44B15A3FE46A}">
      <text>
        <r>
          <rPr>
            <sz val="9"/>
            <rFont val="Tahoma"/>
            <family val="2"/>
          </rPr>
          <t xml:space="preserve">3-р сар дээр 76ш 145.000
</t>
        </r>
      </text>
    </comment>
    <comment ref="M18" authorId="0" shapeId="0" xr:uid="{DC089696-ED74-4624-8FA4-2357CF281656}">
      <text>
        <r>
          <rPr>
            <sz val="9"/>
            <rFont val="Tahoma"/>
            <family val="2"/>
          </rPr>
          <t xml:space="preserve">Агуулахаас явсан 
</t>
        </r>
      </text>
    </comment>
    <comment ref="N18" authorId="0" shapeId="0" xr:uid="{0E5E2A81-5B8F-4F8E-91A8-280676FC2714}">
      <text>
        <r>
          <rPr>
            <b/>
            <sz val="9"/>
            <rFont val="Tahoma"/>
            <family val="2"/>
          </rPr>
          <t xml:space="preserve">Агуулахаас явсан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DELL</author>
  </authors>
  <commentList>
    <comment ref="L18" authorId="0" shapeId="0" xr:uid="{3C44ECD3-3CD3-482E-9BB7-AF4203080774}">
      <text>
        <r>
          <rPr>
            <sz val="9"/>
            <rFont val="Tahoma"/>
            <family val="2"/>
          </rPr>
          <t xml:space="preserve">3-р сар дээр 76ш 145.000
</t>
        </r>
      </text>
    </comment>
    <comment ref="M19" authorId="0" shapeId="0" xr:uid="{79C5C009-BD60-447B-8735-77DABB96EA24}">
      <text>
        <r>
          <rPr>
            <sz val="9"/>
            <rFont val="Tahoma"/>
            <family val="2"/>
          </rPr>
          <t xml:space="preserve">Агуулахаас явсан 
</t>
        </r>
      </text>
    </comment>
    <comment ref="N19" authorId="0" shapeId="0" xr:uid="{1DAA6894-9F1B-4B94-A781-6A2297756C75}">
      <text>
        <r>
          <rPr>
            <b/>
            <sz val="9"/>
            <rFont val="Tahoma"/>
            <family val="2"/>
          </rPr>
          <t xml:space="preserve">Агуулахаас явсан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erdene gerelee</author>
  </authors>
  <commentList>
    <comment ref="Q23" authorId="0" shapeId="0" xr:uid="{9F42012A-8E8C-497B-A982-2B71CEC09945}">
      <text>
        <r>
          <rPr>
            <b/>
            <sz val="9"/>
            <color indexed="81"/>
            <rFont val="Tahoma"/>
            <family val="2"/>
          </rPr>
          <t>erdene gerelee:</t>
        </r>
        <r>
          <rPr>
            <sz val="9"/>
            <color indexed="81"/>
            <rFont val="Tahoma"/>
            <family val="2"/>
          </rPr>
          <t xml:space="preserve">
Мега 1210
Хувь хүн 1155
Их наяд 87 1565
102 3.600.0</t>
        </r>
      </text>
    </comment>
    <comment ref="I27" authorId="0" shapeId="0" xr:uid="{44A78F45-ABA0-46AF-80A9-3E7CD51F7821}">
      <text>
        <r>
          <rPr>
            <b/>
            <sz val="9"/>
            <color indexed="81"/>
            <rFont val="Tahoma"/>
            <family val="2"/>
          </rPr>
          <t>erdene gerelee:</t>
        </r>
        <r>
          <rPr>
            <sz val="9"/>
            <color indexed="81"/>
            <rFont val="Tahoma"/>
            <family val="2"/>
          </rPr>
          <t xml:space="preserve">
Golomt dansaar orson
</t>
        </r>
      </text>
    </comment>
  </commentList>
</comments>
</file>

<file path=xl/sharedStrings.xml><?xml version="1.0" encoding="utf-8"?>
<sst xmlns="http://schemas.openxmlformats.org/spreadsheetml/2006/main" count="2926" uniqueCount="1340">
  <si>
    <t>КТ</t>
  </si>
  <si>
    <t>ДТ</t>
  </si>
  <si>
    <t>Эцсийн үлдэгдэл</t>
  </si>
  <si>
    <t>Дүн</t>
  </si>
  <si>
    <t>Д/д</t>
  </si>
  <si>
    <t>Эхний үлдэгдэл</t>
  </si>
  <si>
    <t>Борлуулалтын авлага</t>
  </si>
  <si>
    <t>Цалингийн өглөг</t>
  </si>
  <si>
    <t>Түрээсийн зардал</t>
  </si>
  <si>
    <t>Бичиг хэргийн зардал</t>
  </si>
  <si>
    <t>Маркетингийн зардал</t>
  </si>
  <si>
    <t>Бусад зардал</t>
  </si>
  <si>
    <t>Сангийн сайдын 2012 оны</t>
  </si>
  <si>
    <t>Сар, өдөр</t>
  </si>
  <si>
    <t>Гарын үсэг</t>
  </si>
  <si>
    <t>Борлуулалт</t>
  </si>
  <si>
    <t>Мөрийн дугаар</t>
  </si>
  <si>
    <t>1.1.1</t>
  </si>
  <si>
    <t>1.1.2</t>
  </si>
  <si>
    <t>1.1.3</t>
  </si>
  <si>
    <t>1.1.4</t>
  </si>
  <si>
    <t>1.1.5</t>
  </si>
  <si>
    <t>1.1.6</t>
  </si>
  <si>
    <t>1.1.7</t>
  </si>
  <si>
    <t>1.1.8</t>
  </si>
  <si>
    <t>1.1.9</t>
  </si>
  <si>
    <t>1.1.11</t>
  </si>
  <si>
    <t>1.2.1</t>
  </si>
  <si>
    <t>1.2.2</t>
  </si>
  <si>
    <t>1.2.3</t>
  </si>
  <si>
    <t>1.2.4</t>
  </si>
  <si>
    <t>1.2.5</t>
  </si>
  <si>
    <t>1.2.6</t>
  </si>
  <si>
    <t>1.2.7</t>
  </si>
  <si>
    <t>1.2.8</t>
  </si>
  <si>
    <t>1.2.10</t>
  </si>
  <si>
    <t>2.1.1</t>
  </si>
  <si>
    <t>2.1.1.1</t>
  </si>
  <si>
    <t>2.1.1.2</t>
  </si>
  <si>
    <t>2.1.1.3</t>
  </si>
  <si>
    <t>2.1.1.4</t>
  </si>
  <si>
    <t>2.1.1.5</t>
  </si>
  <si>
    <t>2.1.1.6</t>
  </si>
  <si>
    <t>2.1.1.7</t>
  </si>
  <si>
    <t>2.1.1.8</t>
  </si>
  <si>
    <t>2.1.1.9</t>
  </si>
  <si>
    <t>2.1.1.10</t>
  </si>
  <si>
    <t>2.1.1.11</t>
  </si>
  <si>
    <t>2.1.2</t>
  </si>
  <si>
    <t>2.1.2.1</t>
  </si>
  <si>
    <t>2.1.2.2</t>
  </si>
  <si>
    <t>2.1.2.3</t>
  </si>
  <si>
    <t>2.1.2.4</t>
  </si>
  <si>
    <t>2.1.2.6</t>
  </si>
  <si>
    <t>2.3.1</t>
  </si>
  <si>
    <t>2.3.2</t>
  </si>
  <si>
    <t>2.3.3</t>
  </si>
  <si>
    <t>2.3.4</t>
  </si>
  <si>
    <t>2.3.5</t>
  </si>
  <si>
    <t>2.3.6</t>
  </si>
  <si>
    <t>2.3.7</t>
  </si>
  <si>
    <t>2.3.8</t>
  </si>
  <si>
    <t>2.3.9</t>
  </si>
  <si>
    <t>2.3.11</t>
  </si>
  <si>
    <t>(төгрөгөөр)</t>
  </si>
  <si>
    <t>Үзүүлэлт</t>
  </si>
  <si>
    <t>Борлуулалтын орлого /цэвэр/</t>
  </si>
  <si>
    <t>Борлуулалтын өртөг</t>
  </si>
  <si>
    <t>Түрээсийн орлого</t>
  </si>
  <si>
    <t>Хүүний орлого</t>
  </si>
  <si>
    <t>Эрхийн шимтгэлийн орлого</t>
  </si>
  <si>
    <t>Бусад орлого</t>
  </si>
  <si>
    <t>Ерөнхий ба удирдлагын зардал</t>
  </si>
  <si>
    <t>Санхүүгийн зардал</t>
  </si>
  <si>
    <t>Тайлант үеийн цэвэр ашиг (алдагдал)</t>
  </si>
  <si>
    <t>Бусад дэлгэрэнгүй орлого</t>
  </si>
  <si>
    <t>Хөрөнгийн дахин үнэлгээний нэмэгдлийн зөрүү</t>
  </si>
  <si>
    <t>Орлогын нийт дүн</t>
  </si>
  <si>
    <t xml:space="preserve">        Бараа борлуулсан, үйлчилгээ үзүүлсэний орлого</t>
  </si>
  <si>
    <t xml:space="preserve">        Бусад мөнгөн орлого</t>
  </si>
  <si>
    <t xml:space="preserve">        Ажиллагчдад төлсөн</t>
  </si>
  <si>
    <t xml:space="preserve">        Нийгмийн даатгалын байгууллагад төлсөн</t>
  </si>
  <si>
    <t xml:space="preserve">        Бараа материал худалдан авахад төлсөн</t>
  </si>
  <si>
    <t xml:space="preserve">        Ашиглалтын зардалд төлсөн</t>
  </si>
  <si>
    <t xml:space="preserve">        Түлш, шатахуун, тээврийн хөлс, сэлбэг хэрэгсэлд төлсөн</t>
  </si>
  <si>
    <t>1.2.9</t>
  </si>
  <si>
    <t xml:space="preserve">        Бусад мөнгөн зарлага</t>
  </si>
  <si>
    <t xml:space="preserve">        Бусдад олгосон зээл, мөнгөн урьдчилгааны буцаан төлөлт</t>
  </si>
  <si>
    <t xml:space="preserve">        Бусдад олгосон зээл болон урьдчилгаа</t>
  </si>
  <si>
    <t>Халаасны хувьцаа</t>
  </si>
  <si>
    <t>Нэмж төлөгдсөн капитал</t>
  </si>
  <si>
    <t>Хөрөнгийн дахин үнэлгээний нэмэгдэл</t>
  </si>
  <si>
    <t>Гадаад валютын хөрвүүлэлтийн нөөц</t>
  </si>
  <si>
    <t>Эздийн өмчийн бусад хэсэг</t>
  </si>
  <si>
    <t>Хуримтлагдсан ашиг</t>
  </si>
  <si>
    <t>Нийт дүн</t>
  </si>
  <si>
    <t>Залруулсан үлдэгдэл</t>
  </si>
  <si>
    <t>Зарласан ногдол ашиг</t>
  </si>
  <si>
    <t>САНХҮҮ БАЙДЛЫН ТАЙЛАН</t>
  </si>
  <si>
    <t>№</t>
  </si>
  <si>
    <t>Огноо</t>
  </si>
  <si>
    <t>2025.01.24</t>
  </si>
  <si>
    <t>2025.11.06</t>
  </si>
  <si>
    <t>2025 он</t>
  </si>
  <si>
    <t>Орлого</t>
  </si>
  <si>
    <t>Тоо хэмжээ</t>
  </si>
  <si>
    <t>Нийт үнэ</t>
  </si>
  <si>
    <t>НӨАТЫН ТАЙЛАНГИЙН НЭТГЭЛ</t>
  </si>
  <si>
    <t>НӨАТ-тэй борлуулалт</t>
  </si>
  <si>
    <t>НӨАТ-гүй борлуулалт</t>
  </si>
  <si>
    <t>Татварт төлөх дүн</t>
  </si>
  <si>
    <t>ҮХ-н худалдан авалт</t>
  </si>
  <si>
    <t>Дотоот худалдан авалтын дүн</t>
  </si>
  <si>
    <t>Импортын худ/авалт</t>
  </si>
  <si>
    <t>Нийт худалдан авалтын дүн</t>
  </si>
  <si>
    <t>Хасагдахгүй НӨАТ</t>
  </si>
  <si>
    <t>Тат-с буцаан авах НӨАТ</t>
  </si>
  <si>
    <t>Тухайн сарын НОГДОЛ</t>
  </si>
  <si>
    <t>Үлдэгдэл</t>
  </si>
  <si>
    <t>Төлсөн</t>
  </si>
  <si>
    <t>Чөлөөлөгдөх нөат</t>
  </si>
  <si>
    <t>Харилцагчийн нэр</t>
  </si>
  <si>
    <t>ДДТД</t>
  </si>
  <si>
    <t>Харилцагчийн ТТД</t>
  </si>
  <si>
    <t>НӨАТ</t>
  </si>
  <si>
    <t>Татварын төрөл</t>
  </si>
  <si>
    <t>Хаанаас үүссэн</t>
  </si>
  <si>
    <t>Төлөв</t>
  </si>
  <si>
    <t>2025-12-31</t>
  </si>
  <si>
    <t>Худалдаа хөгжлийн банк</t>
  </si>
  <si>
    <t>2635534</t>
  </si>
  <si>
    <t>Чөлөөлөгдөх</t>
  </si>
  <si>
    <t>ПОС</t>
  </si>
  <si>
    <t>Илгээгдсэн баримт</t>
  </si>
  <si>
    <t>Энгийн</t>
  </si>
  <si>
    <t>ИБАРИМТ</t>
  </si>
  <si>
    <t>2025-12-24</t>
  </si>
  <si>
    <t>ЮНИТЕЛ</t>
  </si>
  <si>
    <t>5036895</t>
  </si>
  <si>
    <t>Шунхлайтрейдинг</t>
  </si>
  <si>
    <t>5506239</t>
  </si>
  <si>
    <t>Премиум нэксус</t>
  </si>
  <si>
    <t>6155804</t>
  </si>
  <si>
    <t>Содмонгол групп</t>
  </si>
  <si>
    <t>2577739</t>
  </si>
  <si>
    <t>2025-11-30</t>
  </si>
  <si>
    <t>ХААН банк</t>
  </si>
  <si>
    <t>2693321</t>
  </si>
  <si>
    <t>2025-11-14</t>
  </si>
  <si>
    <t>2025-10-31</t>
  </si>
  <si>
    <t>2025-10-07</t>
  </si>
  <si>
    <t>2025-09-30</t>
  </si>
  <si>
    <t>2025-09-22</t>
  </si>
  <si>
    <t>2025-08-31</t>
  </si>
  <si>
    <t>2025-08-25</t>
  </si>
  <si>
    <t>2025-07-31</t>
  </si>
  <si>
    <t>2025-07-22</t>
  </si>
  <si>
    <t>2025-07-08</t>
  </si>
  <si>
    <t>2025-07-01</t>
  </si>
  <si>
    <t>2025-06-30</t>
  </si>
  <si>
    <t>2025-05-31</t>
  </si>
  <si>
    <t>2025-05-19</t>
  </si>
  <si>
    <t>2025-05-13</t>
  </si>
  <si>
    <t>2025-04-30</t>
  </si>
  <si>
    <t>2025-04-10</t>
  </si>
  <si>
    <t>0 Хувь хэрэглэх</t>
  </si>
  <si>
    <t>2025-04-09</t>
  </si>
  <si>
    <t>2025-03-31</t>
  </si>
  <si>
    <t>2025-03-28</t>
  </si>
  <si>
    <t>2025-03-25</t>
  </si>
  <si>
    <t>2025-03-21</t>
  </si>
  <si>
    <t>2025-03-15</t>
  </si>
  <si>
    <t>2025-03-14</t>
  </si>
  <si>
    <t>2025-03-13</t>
  </si>
  <si>
    <t>2025-02-28</t>
  </si>
  <si>
    <t>2025-02-21</t>
  </si>
  <si>
    <t>2025-02-18</t>
  </si>
  <si>
    <t>2025-02-14</t>
  </si>
  <si>
    <t>2025-02-12</t>
  </si>
  <si>
    <t>2025-02-08</t>
  </si>
  <si>
    <t>2025-02-01</t>
  </si>
  <si>
    <t>2025-01-31</t>
  </si>
  <si>
    <t>2025-01-29</t>
  </si>
  <si>
    <t>2025-01-27</t>
  </si>
  <si>
    <t>2025-01-24</t>
  </si>
  <si>
    <t>2025-01-21</t>
  </si>
  <si>
    <t>2025-01-20</t>
  </si>
  <si>
    <t>Номинтав трейд</t>
  </si>
  <si>
    <t>5469929</t>
  </si>
  <si>
    <t>Банкны шимтгэл</t>
  </si>
  <si>
    <t>Бэлтгэн нийлүүлэгч байгууллагын нэр:</t>
  </si>
  <si>
    <t>I am farm Agricultural Co.,LTD  -   Цагаан будаа</t>
  </si>
  <si>
    <t>Гаалийн ханш</t>
  </si>
  <si>
    <t xml:space="preserve">Материалын нэр </t>
  </si>
  <si>
    <t>Хэмжих нэгж</t>
  </si>
  <si>
    <t>1 бүрийн /Кг /</t>
  </si>
  <si>
    <t>Нийт /кг/</t>
  </si>
  <si>
    <t>Гадаад /тээвэр/</t>
  </si>
  <si>
    <t>Гааль / албан татвар /</t>
  </si>
  <si>
    <t>Мэдүүлгийн үнэ</t>
  </si>
  <si>
    <t>Дотоод тээвэр</t>
  </si>
  <si>
    <t>Татан авалтын нийт зардал</t>
  </si>
  <si>
    <t>Орлого авах өртөг</t>
  </si>
  <si>
    <t>/вон/</t>
  </si>
  <si>
    <t>/төгрөг/</t>
  </si>
  <si>
    <t>Нэгж үнэ</t>
  </si>
  <si>
    <t>0224100725I00720</t>
  </si>
  <si>
    <t>кг</t>
  </si>
  <si>
    <t>NSL431881</t>
  </si>
  <si>
    <t xml:space="preserve">10кг </t>
  </si>
  <si>
    <t>NSL431587</t>
  </si>
  <si>
    <t xml:space="preserve">5кг </t>
  </si>
  <si>
    <t>Бусад</t>
  </si>
  <si>
    <t>ZHFU9930428/ YT273374</t>
  </si>
  <si>
    <t>1 кг</t>
  </si>
  <si>
    <t xml:space="preserve">2 кг </t>
  </si>
  <si>
    <t>ТӨЛӨХ ГААЛЬ:</t>
  </si>
  <si>
    <t>ТӨЛСӨН ГААЛЬ:</t>
  </si>
  <si>
    <t>ЗӨРҮҮ</t>
  </si>
  <si>
    <t>Шошго</t>
  </si>
  <si>
    <t>Pulbichae eco friendly</t>
  </si>
  <si>
    <t>Барааны нэрс</t>
  </si>
  <si>
    <t>Тоо</t>
  </si>
  <si>
    <t>Нэгж үнэ KRW</t>
  </si>
  <si>
    <t>Үнэ KRW</t>
  </si>
  <si>
    <t>Тээвэр KRW</t>
  </si>
  <si>
    <t>Нийт өртөг МНТ</t>
  </si>
  <si>
    <t>Хадгалалт</t>
  </si>
  <si>
    <t>Гааль</t>
  </si>
  <si>
    <t>Нэгж өртөг</t>
  </si>
  <si>
    <t>Илжгэн чих 60гр</t>
  </si>
  <si>
    <t>6 тай тавиур</t>
  </si>
  <si>
    <t>ЖИДАКС ХХК</t>
  </si>
  <si>
    <t>Гүзээлзгэнэ</t>
  </si>
  <si>
    <t>Нийт кг</t>
  </si>
  <si>
    <t>Нэгж вон</t>
  </si>
  <si>
    <t>Нэг уут будаа өртөг</t>
  </si>
  <si>
    <t>Жидакс ХК-Цагаан будааны борлуулалтын тайлан / 쌀 판매 보고서</t>
  </si>
  <si>
    <t xml:space="preserve">Цагаан будаа борлуулалт </t>
  </si>
  <si>
    <t>Огноо / 날짜</t>
  </si>
  <si>
    <t xml:space="preserve">20кг </t>
  </si>
  <si>
    <t xml:space="preserve">2кг </t>
  </si>
  <si>
    <t xml:space="preserve">1кг </t>
  </si>
  <si>
    <t>ЛИЙ 사장</t>
  </si>
  <si>
    <t>Үлдэгдэл  /수량 잔액</t>
  </si>
  <si>
    <t>Нэхэмжлэхийн дугаар / 청구서 번호</t>
  </si>
  <si>
    <t>Байгууллага нэрс / 기관 명칭들</t>
  </si>
  <si>
    <t>Байгууллага РД</t>
  </si>
  <si>
    <t>Гэрээний  / pdf /</t>
  </si>
  <si>
    <t>Нэгж үнэ / 단가</t>
  </si>
  <si>
    <t xml:space="preserve">20 кг </t>
  </si>
  <si>
    <t xml:space="preserve">10 кг </t>
  </si>
  <si>
    <t xml:space="preserve"> 5 кг </t>
  </si>
  <si>
    <t>2 кг</t>
  </si>
  <si>
    <t>Төлөх дүн / 결제 금액</t>
  </si>
  <si>
    <t>Төлсөн / 유급의</t>
  </si>
  <si>
    <t>НӨАТ-тэй борлуулалт / 부가세</t>
  </si>
  <si>
    <t>Гүйцэтгэл / 수행</t>
  </si>
  <si>
    <t xml:space="preserve"> 1 кг </t>
  </si>
  <si>
    <t>2025.01.21</t>
  </si>
  <si>
    <t xml:space="preserve">       НЭХЭМЖЛЭХ  №1</t>
  </si>
  <si>
    <t xml:space="preserve"> Signature desings  LLC</t>
  </si>
  <si>
    <t xml:space="preserve">       НЭХЭМЖЛЭХ  №2</t>
  </si>
  <si>
    <t>СӨҮЛ</t>
  </si>
  <si>
    <t>2025.01.25</t>
  </si>
  <si>
    <t>Ирусам ХХК</t>
  </si>
  <si>
    <t xml:space="preserve">       НЭХЭМЖЛЭХ  №3</t>
  </si>
  <si>
    <t>Хангүг Сувон Сэри</t>
  </si>
  <si>
    <t>2025.01.27</t>
  </si>
  <si>
    <t>Мега</t>
  </si>
  <si>
    <t>2025.02.20</t>
  </si>
  <si>
    <t xml:space="preserve">       НЭХЭМЖЛЭХ  №4</t>
  </si>
  <si>
    <t>Монголкореа сторе</t>
  </si>
  <si>
    <t>2025.03.26</t>
  </si>
  <si>
    <t xml:space="preserve">       НЭХЭМЖЛЭХ  №5</t>
  </si>
  <si>
    <t>2025.03.27</t>
  </si>
  <si>
    <t xml:space="preserve">       НЭХЭМЖЛЭХ  №6</t>
  </si>
  <si>
    <t>Арвин бүрэн</t>
  </si>
  <si>
    <t>2025.04.15</t>
  </si>
  <si>
    <t xml:space="preserve">       НЭХЭМЖЛЭХ  №7</t>
  </si>
  <si>
    <t>2025.04.21</t>
  </si>
  <si>
    <t xml:space="preserve">Гаалийн ахлах </t>
  </si>
  <si>
    <t xml:space="preserve">Хувь хүн </t>
  </si>
  <si>
    <t>2025.04.22</t>
  </si>
  <si>
    <t>2025.04.23</t>
  </si>
  <si>
    <t>2025.04.24</t>
  </si>
  <si>
    <t>2025.04.25</t>
  </si>
  <si>
    <t>2025.04.26</t>
  </si>
  <si>
    <t>2025.04.27</t>
  </si>
  <si>
    <t>2025.04.28</t>
  </si>
  <si>
    <t>2025.04.29</t>
  </si>
  <si>
    <t>2025.04.30</t>
  </si>
  <si>
    <t>2025.04.31</t>
  </si>
  <si>
    <t>2025.04.32</t>
  </si>
  <si>
    <t>2025.04.33</t>
  </si>
  <si>
    <t>2025.04.34</t>
  </si>
  <si>
    <t>2025.04.35</t>
  </si>
  <si>
    <t>2025.05.13</t>
  </si>
  <si>
    <t xml:space="preserve">       НЭХЭМЖЛЭХ  №8</t>
  </si>
  <si>
    <t>2025.06.05</t>
  </si>
  <si>
    <t xml:space="preserve">       НЭХЭМЖЛЭХ  №9</t>
  </si>
  <si>
    <t>Солонгос иргэдийн нийгэмлэг</t>
  </si>
  <si>
    <t>2025.06.13</t>
  </si>
  <si>
    <t xml:space="preserve">       НЭХЭМЖЛЭХ  №10</t>
  </si>
  <si>
    <t xml:space="preserve">       НЭХЭМЖЛЭХ  №11</t>
  </si>
  <si>
    <t>Ихнаяд зах 87-р лангуу</t>
  </si>
  <si>
    <t>2025.06.30</t>
  </si>
  <si>
    <t xml:space="preserve">       НЭХЭМЖЛЭХ  №12</t>
  </si>
  <si>
    <t>2025.07.08</t>
  </si>
  <si>
    <t xml:space="preserve">       НЭХЭМЖЛЭХ  №13</t>
  </si>
  <si>
    <t>Эко Грийн Энержи</t>
  </si>
  <si>
    <t>Lee dans</t>
  </si>
  <si>
    <t>2025.07.24</t>
  </si>
  <si>
    <t xml:space="preserve">       НЭХЭМЖЛЭХ  №14</t>
  </si>
  <si>
    <t>2025.07.25</t>
  </si>
  <si>
    <t xml:space="preserve">       НЭХЭМЖЛЭХ  №15</t>
  </si>
  <si>
    <t xml:space="preserve">       НЭХЭМЖЛЭХ  №16</t>
  </si>
  <si>
    <t>Мэлз дэлгэрэх Хайрхан</t>
  </si>
  <si>
    <t>2025.08.08</t>
  </si>
  <si>
    <t xml:space="preserve">       НЭХЭМЖЛЭХ  №17</t>
  </si>
  <si>
    <t>2025.08.25</t>
  </si>
  <si>
    <t xml:space="preserve">       НЭХЭМЖЛЭХ  №18</t>
  </si>
  <si>
    <t>2025.09.15</t>
  </si>
  <si>
    <t xml:space="preserve">       НЭХЭМЖЛЭХ  №19</t>
  </si>
  <si>
    <t>2025.09.19</t>
  </si>
  <si>
    <t xml:space="preserve">       НЭХЭМЖЛЭХ  №20</t>
  </si>
  <si>
    <t>2025.10.06</t>
  </si>
  <si>
    <t xml:space="preserve">       НЭХЭМЖЛЭХ  №21</t>
  </si>
  <si>
    <t>2025.10.17</t>
  </si>
  <si>
    <t xml:space="preserve">       НЭХЭМЖЛЭХ  №22</t>
  </si>
  <si>
    <t>2025.10.29</t>
  </si>
  <si>
    <t xml:space="preserve">       НЭХЭМЖЛЭХ  №23</t>
  </si>
  <si>
    <t>Премиум Нэксус ХК</t>
  </si>
  <si>
    <t>2025.10.31</t>
  </si>
  <si>
    <t xml:space="preserve">       НЭХЭМЖЛЭХ  №24</t>
  </si>
  <si>
    <t xml:space="preserve">       НЭХЭМЖЛЭХ  №25</t>
  </si>
  <si>
    <t>Эрхэт Халласан ХХК</t>
  </si>
  <si>
    <t>2025.11.05</t>
  </si>
  <si>
    <t xml:space="preserve">       НЭХЭМЖЛЭХ  №26</t>
  </si>
  <si>
    <t xml:space="preserve">       НЭХЭМЖЛЭХ  №27</t>
  </si>
  <si>
    <t>2025.11.19</t>
  </si>
  <si>
    <t xml:space="preserve">       НЭХЭМЖЛЭХ  №28</t>
  </si>
  <si>
    <t>2025.11.20</t>
  </si>
  <si>
    <t xml:space="preserve">       НЭХЭМЖЛЭХ  №29</t>
  </si>
  <si>
    <t xml:space="preserve">       НЭХЭМЖЛЭХ  №30</t>
  </si>
  <si>
    <t>2025.11.25</t>
  </si>
  <si>
    <t xml:space="preserve">       НЭХЭМЖЛЭХ  №31</t>
  </si>
  <si>
    <t>2025.11.28</t>
  </si>
  <si>
    <t xml:space="preserve">       НЭХЭМЖЛЭХ  №32</t>
  </si>
  <si>
    <t>2025.12.03</t>
  </si>
  <si>
    <t xml:space="preserve">       НЭХЭМЖЛЭХ  №33</t>
  </si>
  <si>
    <t>2025.12.22</t>
  </si>
  <si>
    <t xml:space="preserve">       НЭХЭМЖЛЭХ  №34</t>
  </si>
  <si>
    <t xml:space="preserve">       НЭХЭМЖЛЭХ  №35</t>
  </si>
  <si>
    <t>Манува интернэшнл</t>
  </si>
  <si>
    <t>5кг*100 TV9</t>
  </si>
  <si>
    <t>НИЙТ:</t>
  </si>
  <si>
    <t>Код</t>
  </si>
  <si>
    <t>Нэр</t>
  </si>
  <si>
    <t>Дебет</t>
  </si>
  <si>
    <t>Кредит</t>
  </si>
  <si>
    <t>Кассанд байгаа бэлэн мөнгө (төгрөг)</t>
  </si>
  <si>
    <t>Харилцах ХХБ (төгрөг)</t>
  </si>
  <si>
    <t>Харилцах - ХХБ (доллар)</t>
  </si>
  <si>
    <t>Харилцах - Хаан</t>
  </si>
  <si>
    <t>Харилцах-Капитрон /төгрөг/</t>
  </si>
  <si>
    <t>Харилцах-Капитрон /доллар/</t>
  </si>
  <si>
    <t>НӨАТ-ын авлага</t>
  </si>
  <si>
    <t>ААНОАТ-ын авлага</t>
  </si>
  <si>
    <t>Холбоотой талаас авах авлага /МДК/</t>
  </si>
  <si>
    <t>Холбоотой талаас авах авлага /АКАТАТУР/</t>
  </si>
  <si>
    <t>Бусад богино хугацаат зээл /Их Бараат/</t>
  </si>
  <si>
    <t>Бусад авлага-Агуулахын барьцаа</t>
  </si>
  <si>
    <t>Бэлэн бүтээгдэхүүн, бараа</t>
  </si>
  <si>
    <t>БМ</t>
  </si>
  <si>
    <t>Урьдчилж гарсан зардал / MNT /</t>
  </si>
  <si>
    <t>УГЗ</t>
  </si>
  <si>
    <t>Барилга байгууламж</t>
  </si>
  <si>
    <t>ҮХөрөнгө</t>
  </si>
  <si>
    <t>Хур/эл Барилга байгууламж</t>
  </si>
  <si>
    <t>Програм хангамж</t>
  </si>
  <si>
    <t>Бусад биет бус хөрөнгө</t>
  </si>
  <si>
    <t>Урт хугацаат бусад хөрөнгө оруулалт-өмнөх</t>
  </si>
  <si>
    <t>Урт хугацаат хөрөнгө оруулалт-АДМ</t>
  </si>
  <si>
    <t>ЭМНДШ-ийн өглөг</t>
  </si>
  <si>
    <t>ХХОАТ-ын өглөг ТТ11.1, 11.2</t>
  </si>
  <si>
    <t>Будааны  БНТөглөг</t>
  </si>
  <si>
    <t>Дансны өглөг KRW iljgen chih</t>
  </si>
  <si>
    <t>Урьдчилж орсон орлого</t>
  </si>
  <si>
    <t>Бусад урт хугацаат өглөг</t>
  </si>
  <si>
    <t>Хувийн өмч</t>
  </si>
  <si>
    <t>Эзэмшигчийн өмчийн бусад хэсэг</t>
  </si>
  <si>
    <t>Өмнөх үеийн хуримтлагдсан ашиг</t>
  </si>
  <si>
    <t>Бүтээгдэхүүн борлуулсан борлуулалт</t>
  </si>
  <si>
    <t>Дансны үлдэгдэлд тооцсон банкны хүүгийн орлого</t>
  </si>
  <si>
    <t>Үзүүлсэн ажил үйлчилгээний өртөг</t>
  </si>
  <si>
    <t>Борлуулсан бүт-ний өртөг</t>
  </si>
  <si>
    <t>Цалин, хөдөлмөрийн хөлс, нэмэгдэл хөлс</t>
  </si>
  <si>
    <t>ЭМНДШ-ийн зардал</t>
  </si>
  <si>
    <t>Бусад төлбөр хураамж</t>
  </si>
  <si>
    <t>Шуудан холбоо, интернет</t>
  </si>
  <si>
    <t>Агуулахын түрээсийн зардал</t>
  </si>
  <si>
    <t>Элэгдлийн зардал</t>
  </si>
  <si>
    <t>Бусад татвар хураамж</t>
  </si>
  <si>
    <t>Хангамжийн материалын зардал</t>
  </si>
  <si>
    <t>Шатах тослох материалын зардал</t>
  </si>
  <si>
    <t>Бусдаар гүйцэтгүүлсэн ажил үйлчилгээний хөлс</t>
  </si>
  <si>
    <t>Зар сурталчилгааны зардал</t>
  </si>
  <si>
    <t>Гадаад валютын ханшийн зөрүүний бодит бус олз</t>
  </si>
  <si>
    <t>Гадаад валютын ханшийн зөрүүний бодит бус гарз</t>
  </si>
  <si>
    <t>Үйл ажиллагааны бус бусад зардал</t>
  </si>
  <si>
    <t>Орлогын татварын зардал</t>
  </si>
  <si>
    <t>НИЙТ ДҮН:</t>
  </si>
  <si>
    <t>078900836494998094911142910010276</t>
  </si>
  <si>
    <t>000006155804000251224000001307668</t>
  </si>
  <si>
    <t>350657080416000251207000001489069</t>
  </si>
  <si>
    <t>ЮН КЁН НУ</t>
  </si>
  <si>
    <t>ЮД57080416</t>
  </si>
  <si>
    <t>000005033977000251203000001217105</t>
  </si>
  <si>
    <t>Юнипресс</t>
  </si>
  <si>
    <t>5033977</t>
  </si>
  <si>
    <t>078900836494998094600916510010289</t>
  </si>
  <si>
    <t>000002075377002251205001000047384</t>
  </si>
  <si>
    <t>Голомтбанк</t>
  </si>
  <si>
    <t>2075377</t>
  </si>
  <si>
    <t>000002693321001251201005079565838</t>
  </si>
  <si>
    <t>000002061759001251119000001740281</t>
  </si>
  <si>
    <t>2025-11-19</t>
  </si>
  <si>
    <t>Датаком</t>
  </si>
  <si>
    <t>2061759</t>
  </si>
  <si>
    <t>000002075377002251114001000009949</t>
  </si>
  <si>
    <t>069100219717001094350000710016183</t>
  </si>
  <si>
    <t>2025-11-06</t>
  </si>
  <si>
    <t>Нью улаанбаатар интернэйшнл эйрпорт</t>
  </si>
  <si>
    <t>3874095</t>
  </si>
  <si>
    <t>350657080416000251106000001019722</t>
  </si>
  <si>
    <t>000008270309000251106000001967272</t>
  </si>
  <si>
    <t>Зочлох үйлчлэх салбарын сургалт, хөгжлийн төв</t>
  </si>
  <si>
    <t>8270309</t>
  </si>
  <si>
    <t>078900836494998094301334310010292</t>
  </si>
  <si>
    <t>000002693321001251101005175974818</t>
  </si>
  <si>
    <t>000005502802000251007000801525376</t>
  </si>
  <si>
    <t>Ти Ай ложистик</t>
  </si>
  <si>
    <t>5502802</t>
  </si>
  <si>
    <t>000005502802000251007000801523507</t>
  </si>
  <si>
    <t>000002677377300251001003055805520</t>
  </si>
  <si>
    <t>2025-10-01</t>
  </si>
  <si>
    <t>Капитронбанк</t>
  </si>
  <si>
    <t>2677377</t>
  </si>
  <si>
    <t>000002677377300251001003055775898</t>
  </si>
  <si>
    <t>000002677377300251001003055750343</t>
  </si>
  <si>
    <t>078900836494998093991347310010299</t>
  </si>
  <si>
    <t>023101404956001094050011110024405</t>
  </si>
  <si>
    <t>350657080416000251006000001388314</t>
  </si>
  <si>
    <t>000002075377002251006001000037836</t>
  </si>
  <si>
    <t>000002693321001251001005175294166</t>
  </si>
  <si>
    <t>000005502802000250922000801620933</t>
  </si>
  <si>
    <t>000005502802000250922000801620872</t>
  </si>
  <si>
    <t>078900836494998093691337710010292</t>
  </si>
  <si>
    <t>000002075377002250904001000038403</t>
  </si>
  <si>
    <t>000009114955000250827000001410909</t>
  </si>
  <si>
    <t>2025-08-27</t>
  </si>
  <si>
    <t>Хүнсний аюулгүй байдлын үндэсний лавлагаа лаборатори</t>
  </si>
  <si>
    <t>9114955</t>
  </si>
  <si>
    <t>000003874095001250825000004063011</t>
  </si>
  <si>
    <t>065100987396101093620021110000191</t>
  </si>
  <si>
    <t>Дижиталмедик</t>
  </si>
  <si>
    <t>5915244</t>
  </si>
  <si>
    <t>078900836494998093381324310010286</t>
  </si>
  <si>
    <t>000002075377002250804001000002684</t>
  </si>
  <si>
    <t>000002075377002250803001000052999</t>
  </si>
  <si>
    <t>000002693321001250808005175652522</t>
  </si>
  <si>
    <t>073485061969000250722000001958189</t>
  </si>
  <si>
    <t>БАТСАЙХАН ГАНБАЯР</t>
  </si>
  <si>
    <t>ЕЭ85061969</t>
  </si>
  <si>
    <t>000005502802000250708000801714486</t>
  </si>
  <si>
    <t>000002677377300250701003055283654</t>
  </si>
  <si>
    <t>000002677377300250701003055256780</t>
  </si>
  <si>
    <t>000002677377300250701003055217820</t>
  </si>
  <si>
    <t>078900836494998093071206710010273</t>
  </si>
  <si>
    <t>000002693321001250701005175344402</t>
  </si>
  <si>
    <t>078900836494998092781192510010297</t>
  </si>
  <si>
    <t>000006294987000250607000001071278</t>
  </si>
  <si>
    <t>БИТХАМ</t>
  </si>
  <si>
    <t>6294987</t>
  </si>
  <si>
    <t>000002693321001250601005175759903</t>
  </si>
  <si>
    <t>000005974941004250519101000348587</t>
  </si>
  <si>
    <t>Ривер клуб</t>
  </si>
  <si>
    <t>5974941</t>
  </si>
  <si>
    <t>019100186598000092580009310009687</t>
  </si>
  <si>
    <t>Бейбарыс трейд</t>
  </si>
  <si>
    <t>6447783</t>
  </si>
  <si>
    <t>049001191017011092510000310014749</t>
  </si>
  <si>
    <t>2025-05-06</t>
  </si>
  <si>
    <t>Инкколор</t>
  </si>
  <si>
    <t>5284376</t>
  </si>
  <si>
    <t>0000062949870002505070000011320910</t>
  </si>
  <si>
    <t>078900836494998092461183310010291</t>
  </si>
  <si>
    <t>000006048692000250430000001818906</t>
  </si>
  <si>
    <t>Ти Жэй Ти глобал ложистикс</t>
  </si>
  <si>
    <t>6048692</t>
  </si>
  <si>
    <t>291067092961000250430000001820907</t>
  </si>
  <si>
    <t>ЧУЛУУНДОРЖ САРАНГЭРЭЛ</t>
  </si>
  <si>
    <t>ШЗ67092961</t>
  </si>
  <si>
    <t>000002693321001250501005175077228</t>
  </si>
  <si>
    <t>000002693321001250414005054627049</t>
  </si>
  <si>
    <t>2025-04-14</t>
  </si>
  <si>
    <t>000002575043000250414000001159072</t>
  </si>
  <si>
    <t>Монгол-Экспресс</t>
  </si>
  <si>
    <t>2575043</t>
  </si>
  <si>
    <t>065100987396101092250014510000191</t>
  </si>
  <si>
    <t>000006043275000250409000001034923</t>
  </si>
  <si>
    <t>Үнэт цаасны төвлөрсөн хадгаламжийн төв</t>
  </si>
  <si>
    <t>6043275</t>
  </si>
  <si>
    <t>079100190669000092240000510006560</t>
  </si>
  <si>
    <t>Нью компас Кэй</t>
  </si>
  <si>
    <t>6452256</t>
  </si>
  <si>
    <t>000002677377300250401003055621239</t>
  </si>
  <si>
    <t>2025-04-01</t>
  </si>
  <si>
    <t>000002677377300250401003055607579</t>
  </si>
  <si>
    <t>000002677377300250401003055572503</t>
  </si>
  <si>
    <t>000007019553000250407000001875341</t>
  </si>
  <si>
    <t>Хээнцэр торгон цаас</t>
  </si>
  <si>
    <t>7019553</t>
  </si>
  <si>
    <t>000005502802000250407000001861870</t>
  </si>
  <si>
    <t>000007019553000250407000001876230</t>
  </si>
  <si>
    <t>078900836494998092161309510010292</t>
  </si>
  <si>
    <t>000005502802000250407000001862466</t>
  </si>
  <si>
    <t>000006294987000250403000001621962</t>
  </si>
  <si>
    <t>000002651661000250402000001552769</t>
  </si>
  <si>
    <t>ӨДРИЙН МЭДЭЭ</t>
  </si>
  <si>
    <t>2651661</t>
  </si>
  <si>
    <t>000002693321001250401005175480850</t>
  </si>
  <si>
    <t>000009114955000250328000001335059</t>
  </si>
  <si>
    <t>073485061969001250327829729115239</t>
  </si>
  <si>
    <t>2025-03-27</t>
  </si>
  <si>
    <t>000005506239015250326000001096963</t>
  </si>
  <si>
    <t>2025-03-26</t>
  </si>
  <si>
    <t>000002071096000250325000001157093</t>
  </si>
  <si>
    <t>Монголын хөрөнгийн бирж</t>
  </si>
  <si>
    <t>2071096</t>
  </si>
  <si>
    <t>000005502802000250321000001057164</t>
  </si>
  <si>
    <t>000005502802000250321000001055612</t>
  </si>
  <si>
    <t>000005735947000250315000001856479</t>
  </si>
  <si>
    <t>Мөнгөнпресс</t>
  </si>
  <si>
    <t>5735947</t>
  </si>
  <si>
    <t>033000878924001091980030910003059</t>
  </si>
  <si>
    <t>Номадсхоспиталити</t>
  </si>
  <si>
    <t>2737329</t>
  </si>
  <si>
    <t>000008335184001250313210933130757</t>
  </si>
  <si>
    <t>Мондакт эвол</t>
  </si>
  <si>
    <t>8335184</t>
  </si>
  <si>
    <t>000006294987000250307000001487000</t>
  </si>
  <si>
    <t>078900836494998091913875310010293</t>
  </si>
  <si>
    <t>000002693321001250301005175805495</t>
  </si>
  <si>
    <t>000005036895101250221088807217560</t>
  </si>
  <si>
    <t>030000000000001091750003810009907</t>
  </si>
  <si>
    <t>2025-02-19</t>
  </si>
  <si>
    <t>ЭЦСИЙН ХЭРЭГЛЭГЧ</t>
  </si>
  <si>
    <t>3000000</t>
  </si>
  <si>
    <t>000005735947000250218000001862968</t>
  </si>
  <si>
    <t>000002577739001250214664146269187</t>
  </si>
  <si>
    <t>030000000000001091680011510009907</t>
  </si>
  <si>
    <t>000005506239002250208000001279206</t>
  </si>
  <si>
    <t>078900836494998091571871510010273</t>
  </si>
  <si>
    <t>000005201233000250207000001484867</t>
  </si>
  <si>
    <t>Мишээл-Од Аудит</t>
  </si>
  <si>
    <t>5201233</t>
  </si>
  <si>
    <t>000005502802000250207000001490404</t>
  </si>
  <si>
    <t>000006294987000250207000001436419</t>
  </si>
  <si>
    <t>000002693321001250201005175386184</t>
  </si>
  <si>
    <t>049001191017011091540003510002482</t>
  </si>
  <si>
    <t>000009114955000250127000001784222</t>
  </si>
  <si>
    <t>000005081297000250127000001769953</t>
  </si>
  <si>
    <t>Нарны буман гэрэл</t>
  </si>
  <si>
    <t>5081297</t>
  </si>
  <si>
    <t>000005502802000250124000001710995</t>
  </si>
  <si>
    <t>000005502802000250124000001711568</t>
  </si>
  <si>
    <t>000006298907002250121000003080046</t>
  </si>
  <si>
    <t>Жойе раун</t>
  </si>
  <si>
    <t>6298907</t>
  </si>
  <si>
    <t>161078091116000250120000001584605</t>
  </si>
  <si>
    <t>НИНА БИШГАРАВ</t>
  </si>
  <si>
    <t>ОИ78091116</t>
  </si>
  <si>
    <t>000002677377300250101003055084431</t>
  </si>
  <si>
    <t>2025-01-01</t>
  </si>
  <si>
    <t>000002677377300250101003055066450</t>
  </si>
  <si>
    <t>000002677377300250101003055034793</t>
  </si>
  <si>
    <t>Хэрэглэгч: ЖИДАКС ХК                         Харилцах -MNT /2025 он/</t>
  </si>
  <si>
    <t>1 сар</t>
  </si>
  <si>
    <t>2 сар</t>
  </si>
  <si>
    <t>3 сар</t>
  </si>
  <si>
    <t>4 сар</t>
  </si>
  <si>
    <t>5 сар</t>
  </si>
  <si>
    <t>6 сар</t>
  </si>
  <si>
    <t>7 сар</t>
  </si>
  <si>
    <t>8 сар</t>
  </si>
  <si>
    <t>9 сар</t>
  </si>
  <si>
    <t>10 сар</t>
  </si>
  <si>
    <t>11 сар</t>
  </si>
  <si>
    <t>12 сар</t>
  </si>
  <si>
    <t>Хаан төгрөг</t>
  </si>
  <si>
    <t>ХХБанк төгрөг</t>
  </si>
  <si>
    <t>ХХБ-Доллар</t>
  </si>
  <si>
    <t>Golomt</t>
  </si>
  <si>
    <t>Нийт</t>
  </si>
  <si>
    <t>Данс хооронд орлого</t>
  </si>
  <si>
    <t>Борлуулалтын орлого</t>
  </si>
  <si>
    <t>Зээл төлөв. МДК-с</t>
  </si>
  <si>
    <t>Зээл төлөв. Акататур-с</t>
  </si>
  <si>
    <t>Зээл төлөв. Их Бараат-с</t>
  </si>
  <si>
    <t>Зээлдүүлэв. Лий-с</t>
  </si>
  <si>
    <t>БО Айти үйлчилгээний</t>
  </si>
  <si>
    <t>Зарлага</t>
  </si>
  <si>
    <t>Гаалийн татварт</t>
  </si>
  <si>
    <t>БМ:Цагаан будаа 20кг</t>
  </si>
  <si>
    <t>Цалин</t>
  </si>
  <si>
    <t>НӨАТ-Гааль</t>
  </si>
  <si>
    <t>НДШ</t>
  </si>
  <si>
    <t>ХХОАТ</t>
  </si>
  <si>
    <t>Түрээсийн барьцаа авлага</t>
  </si>
  <si>
    <t>Агуулахын түрээс</t>
  </si>
  <si>
    <t>Домайн нэрийн төлбөрт</t>
  </si>
  <si>
    <t>Мэргэжлийн үйлчилгээний төлбөрт</t>
  </si>
  <si>
    <t>Данс хооронд зарлага</t>
  </si>
  <si>
    <t>Банк шимтгэл</t>
  </si>
  <si>
    <t>Бичиг хэрэг</t>
  </si>
  <si>
    <t>Шатахуун</t>
  </si>
  <si>
    <t>Зээл төлөв. Лий-д</t>
  </si>
  <si>
    <t>Зээлдүүлэв. Акататур ХХК-д</t>
  </si>
  <si>
    <t>Зээлдүүлэв. Их Бараат ХХК-д</t>
  </si>
  <si>
    <t>Зээлдүүлэв. Эм Ди Кэй Ай ХХК-д</t>
  </si>
  <si>
    <t>Тээврийн зардал</t>
  </si>
  <si>
    <t>Бусад төлбөр, хураамж</t>
  </si>
  <si>
    <t>Гадаад шилжүүлэг</t>
  </si>
  <si>
    <t>Агуулахын ашиглалтын зардал</t>
  </si>
  <si>
    <t>Эхний үлд</t>
  </si>
  <si>
    <t>Эцсийн үлд</t>
  </si>
  <si>
    <t xml:space="preserve">  / Lee Jeoung Ho /</t>
  </si>
  <si>
    <t>/ Э.Баяргэрэл /</t>
  </si>
  <si>
    <t>/ Lee Jeoung Ho /</t>
  </si>
  <si>
    <t>Өртөг</t>
  </si>
  <si>
    <t>Мөнгөн гүйлгээ</t>
  </si>
  <si>
    <t>Нийт өртөг</t>
  </si>
  <si>
    <t>Аз фүүд сис</t>
  </si>
  <si>
    <t>Булгамаа</t>
  </si>
  <si>
    <t xml:space="preserve">НДШ </t>
  </si>
  <si>
    <t>ЦАЛИН С</t>
  </si>
  <si>
    <t>НДШ хассаны</t>
  </si>
  <si>
    <t>НД АО</t>
  </si>
  <si>
    <t>НИЙТ НДШ</t>
  </si>
  <si>
    <t>Лии</t>
  </si>
  <si>
    <t>Ариунаа</t>
  </si>
  <si>
    <t>Гарт олгох</t>
  </si>
  <si>
    <t>ндш</t>
  </si>
  <si>
    <t>ххоат</t>
  </si>
  <si>
    <t>Төлөх ХХОАТ</t>
  </si>
  <si>
    <t>ндш-АО</t>
  </si>
  <si>
    <t>Хөнгөлөлт</t>
  </si>
  <si>
    <t>Харилцах-Голомт /төгрөг/</t>
  </si>
  <si>
    <t>Агуулах ашиглалт</t>
  </si>
  <si>
    <t>Тооцоо- ЛИЙ захирал</t>
  </si>
  <si>
    <t>Мөнгө ба түүнтэй адилтгах хөрөнгө</t>
  </si>
  <si>
    <t>Татварын, НДШ-ийн авлага</t>
  </si>
  <si>
    <t>Бусад авлага</t>
  </si>
  <si>
    <t xml:space="preserve">Биет бус хөрөнгө </t>
  </si>
  <si>
    <t>Урт хугацаат хөрөнгө оруулалт</t>
  </si>
  <si>
    <t>Татварын өр</t>
  </si>
  <si>
    <t>Бусад богино хугацаат өр төлбөр</t>
  </si>
  <si>
    <t>Бусад урт хугацаат өр төлбөр</t>
  </si>
  <si>
    <t xml:space="preserve">            б)   хувийн</t>
  </si>
  <si>
    <t>Гүйлгээ 25.12.31</t>
  </si>
  <si>
    <t>350657080416000260106000001132744</t>
  </si>
  <si>
    <t>Үнэ USD</t>
  </si>
  <si>
    <t>Нэгж үнэ USD</t>
  </si>
  <si>
    <t>Тээвэр USD</t>
  </si>
  <si>
    <t>Татан авалтын нэмэлт тооцоо</t>
  </si>
  <si>
    <t>Дт</t>
  </si>
  <si>
    <t>Кт</t>
  </si>
  <si>
    <t>БНТөглөг</t>
  </si>
  <si>
    <t>Бараа мат</t>
  </si>
  <si>
    <t xml:space="preserve">Барааны нэр </t>
  </si>
  <si>
    <t>нэгж үнэ $</t>
  </si>
  <si>
    <t>Дүн $</t>
  </si>
  <si>
    <t>Ханш</t>
  </si>
  <si>
    <t>Дүн ₮</t>
  </si>
  <si>
    <t>Гаалийн татвар</t>
  </si>
  <si>
    <t xml:space="preserve">НӨАТ-н дүн </t>
  </si>
  <si>
    <t>Бүрдүүлэлт</t>
  </si>
  <si>
    <t xml:space="preserve">Нэгж өртөг </t>
  </si>
  <si>
    <t>2025.07.07</t>
  </si>
  <si>
    <t>ЖИДАКС ХХК-н 2025 ОНЫ ГААЛЬ БҮРДҮҮЛЭЛТИЙН НЭГТГЭЛ ТАЙЛАН</t>
  </si>
  <si>
    <t>2025.01.16</t>
  </si>
  <si>
    <t>Цагаан будаа 20кг</t>
  </si>
  <si>
    <t>Хэмжээ ширхэг</t>
  </si>
  <si>
    <t>2025.03.18</t>
  </si>
  <si>
    <t>Цагаан будаа 10кг</t>
  </si>
  <si>
    <t>Цагаан будаа 5кг</t>
  </si>
  <si>
    <t>Нэмэлт тээвэр</t>
  </si>
  <si>
    <t>Цагаан будаа 2кг</t>
  </si>
  <si>
    <t>Цагаан будаа 1кг</t>
  </si>
  <si>
    <t>БНТӨглөг</t>
  </si>
  <si>
    <t>Дансны өглөг-Бусад тооцоо</t>
  </si>
  <si>
    <t>26,382,862.90 </t>
  </si>
  <si>
    <t>төлөх</t>
  </si>
  <si>
    <t>буцаан</t>
  </si>
  <si>
    <t>Данс</t>
  </si>
  <si>
    <t>Ebarimt</t>
  </si>
  <si>
    <t>Cash</t>
  </si>
  <si>
    <t>102-р сургууль</t>
  </si>
  <si>
    <t>1 sard UOO</t>
  </si>
  <si>
    <t>EB-Сигначэр дизайнз ххк барааны төлбөр</t>
  </si>
  <si>
    <t>2025-01-22</t>
  </si>
  <si>
    <t>seoul food ХААНААС: 320000 JOONHEE AHN</t>
  </si>
  <si>
    <t>2025-01-23</t>
  </si>
  <si>
    <t>СӨҮЛ ХХК-С KOREAN RICE 20KG-260PACK*121000TG ХААНААС: 040000 СӨҮЛ ХХК</t>
  </si>
  <si>
    <t>2025-01-25</t>
  </si>
  <si>
    <t>5869072 IROSAM J RESTAURANT</t>
  </si>
  <si>
    <t>miga 01/27</t>
  </si>
  <si>
    <t>2025-03-11</t>
  </si>
  <si>
    <t>EB-МК Нисэх рд5906261 будаа жидакс</t>
  </si>
  <si>
    <t>EB-Будааны үнэ рд5906261 монголкореа сторе</t>
  </si>
  <si>
    <t>EB-МК нисэх будааны төлбөр рд5906261</t>
  </si>
  <si>
    <t>EB-МК Нисэх будааны үнэ рд5906261</t>
  </si>
  <si>
    <t>2025-04-15</t>
  </si>
  <si>
    <t>СӨҮЛ-С ХААНААС: 150000 СӨҮЛ ХХК</t>
  </si>
  <si>
    <t>2025-04-21</t>
  </si>
  <si>
    <t>Hurlee-s budaa</t>
  </si>
  <si>
    <t>2025-04-23</t>
  </si>
  <si>
    <t>Budaa tolbor</t>
  </si>
  <si>
    <t>EB-МК нисэх рд5906261 жидакс будаа</t>
  </si>
  <si>
    <t>Arvin buren 5344476</t>
  </si>
  <si>
    <t>budaa</t>
  </si>
  <si>
    <t>2025-05-23</t>
  </si>
  <si>
    <t>EB-МК Нисэх рд5906261 будааны төлбөр</t>
  </si>
  <si>
    <t>2025-06-02</t>
  </si>
  <si>
    <t>XINGSHENG-С  ЖИДАКС-Д ХААНААС: 150000 XINGSHENG FANG</t>
  </si>
  <si>
    <t>2025-06-05</t>
  </si>
  <si>
    <t>You Youngsoon</t>
  </si>
  <si>
    <t>2025-06-16</t>
  </si>
  <si>
    <t>2025-06-27</t>
  </si>
  <si>
    <t>EB-МК Нисэх будааны төлбөр рд5906261</t>
  </si>
  <si>
    <t>2025-06-29</t>
  </si>
  <si>
    <t>их наяд 87</t>
  </si>
  <si>
    <t>EB-МК Нисэх будаа рд5906261</t>
  </si>
  <si>
    <t>2025-07-31 11:15:14</t>
  </si>
  <si>
    <t>EB-МК нисэх рд5906261 жидакс будаа төлбөр 6 сар</t>
  </si>
  <si>
    <t>2025-07-31 20:30:28</t>
  </si>
  <si>
    <t>EB-Arvin buren 5344476</t>
  </si>
  <si>
    <t>2025-08-11 16:00:48</t>
  </si>
  <si>
    <t>АЗ ФҮҮД СИС ХХК БАРААНЫ ТӨЛБӨР ХААНААС: 150000 АЗ ФҮҮД СИС ХХК</t>
  </si>
  <si>
    <t>2025-08-12 15:04:48</t>
  </si>
  <si>
    <t>EB-МК Нисэх будаа төлбөр 7/25 рд5906261</t>
  </si>
  <si>
    <t>2025-08-25 16:52:57</t>
  </si>
  <si>
    <t>EB-МК Нисэх рд5906261 жидакс</t>
  </si>
  <si>
    <t>2025-09-16 14:57:16</t>
  </si>
  <si>
    <t>СӨҮЛ ХХК-С RISE PRICE 200PACK-121000TG ХААНААС: 040000 СӨҮЛ ХХК</t>
  </si>
  <si>
    <t>2025-09-22 11:14:42</t>
  </si>
  <si>
    <t>EB-МК Нисэх будаа төлбөр рд5906261 монголкореа с</t>
  </si>
  <si>
    <t>2025-10-07 14:03:23</t>
  </si>
  <si>
    <t>4 уут будаа</t>
  </si>
  <si>
    <t>2025-10-11 16:37:12</t>
  </si>
  <si>
    <t>EB-МК нисэх будаа төлбөр 9/19 жидакс</t>
  </si>
  <si>
    <t>2025-10-17 11:47:58</t>
  </si>
  <si>
    <t>EB-4557875 so hvns115- jidaks so budaa 8sar bara</t>
  </si>
  <si>
    <t>2025-10-17 15:30:25</t>
  </si>
  <si>
    <t>EB-МК Нисэх 10/06 рд5906261 будааны төлбөр</t>
  </si>
  <si>
    <t>2025-10-31 13:46:09</t>
  </si>
  <si>
    <t>4557875 so hvns115- jidaks so budaa</t>
  </si>
  <si>
    <t>2025-11-20 16:34:53</t>
  </si>
  <si>
    <t>EB-МК нисэх будаа 10/17, 11/05 рд5906261 жидакс</t>
  </si>
  <si>
    <t>ББӨ</t>
  </si>
  <si>
    <t>2025-11-25 21:45:37</t>
  </si>
  <si>
    <t>102-r surguuli anhan shat solongos hel</t>
  </si>
  <si>
    <t>2025-12-12 17:45:16</t>
  </si>
  <si>
    <t>EB-МК Нисэх будааны төлбөр 11/20 рд5906261 жидкс</t>
  </si>
  <si>
    <t>2025-12-17 14:52:10</t>
  </si>
  <si>
    <t>СӨҮЛ ХХК-C FROZEN PERSIMMON-50EA*5500TG ХААНААС: 040000 СӨҮЛ ХХК</t>
  </si>
  <si>
    <t>Бор хөнгөлөлт</t>
  </si>
  <si>
    <t>2025-12-22 13:56:17</t>
  </si>
  <si>
    <t>rice</t>
  </si>
  <si>
    <t>2025-12-26 12:23:37</t>
  </si>
  <si>
    <t>EB-МК Нисэх рд5906261 жидакс 12/03</t>
  </si>
  <si>
    <t>2025-12-29 12:31:38</t>
  </si>
  <si>
    <t>EB-4557875 so hvns 115- so budaa baraa</t>
  </si>
  <si>
    <t>2025-12-31 11:13:09</t>
  </si>
  <si>
    <t>СӨҮЛ ХХК-С FROZEN DONKEY EARS-50EA*5500TG ХААНААС: 040000 СӨҮЛ ХХК</t>
  </si>
  <si>
    <t>Бор.Авлага</t>
  </si>
  <si>
    <t>Бор Орлого</t>
  </si>
  <si>
    <t>дээж</t>
  </si>
  <si>
    <t>Бүтээгдэхүүн дээж шинж зардал</t>
  </si>
  <si>
    <t>Маркетинг зардал</t>
  </si>
  <si>
    <t>Харилцах</t>
  </si>
  <si>
    <t>Касс</t>
  </si>
  <si>
    <t>УОО</t>
  </si>
  <si>
    <t>Мөнгө нь орохоор шивнэ</t>
  </si>
  <si>
    <t>CU bichilt</t>
  </si>
  <si>
    <t>Gaalid</t>
  </si>
  <si>
    <t>uoo</t>
  </si>
  <si>
    <t>Утга</t>
  </si>
  <si>
    <t>Мишээл од -2024 оны тайланд аудит</t>
  </si>
  <si>
    <t>2025.01.31</t>
  </si>
  <si>
    <t>2025.02.28</t>
  </si>
  <si>
    <t>2025.03.31</t>
  </si>
  <si>
    <t>2025.05.31</t>
  </si>
  <si>
    <t>2025.06.31</t>
  </si>
  <si>
    <t>2025.08.31</t>
  </si>
  <si>
    <t>2025.07.31</t>
  </si>
  <si>
    <t>2025.09.30</t>
  </si>
  <si>
    <t>2025.11.30</t>
  </si>
  <si>
    <t>2025.12.31</t>
  </si>
  <si>
    <t>Лий цалин олгов</t>
  </si>
  <si>
    <t>2025.01.10</t>
  </si>
  <si>
    <t>2025.03.13</t>
  </si>
  <si>
    <t>2025.04.14</t>
  </si>
  <si>
    <t>Тээвэр</t>
  </si>
  <si>
    <t>Захирлаас зээлэв</t>
  </si>
  <si>
    <t>Барааны төлбөр төлөв</t>
  </si>
  <si>
    <t>Ти ай</t>
  </si>
  <si>
    <t>касс</t>
  </si>
  <si>
    <t>2025.11.26</t>
  </si>
  <si>
    <t>2025.01.09</t>
  </si>
  <si>
    <t>"ЖИДАКС" ХК</t>
  </si>
  <si>
    <t>ХӨРӨНГӨ</t>
  </si>
  <si>
    <t>Эргэлтийн хөрөнгө</t>
  </si>
  <si>
    <t>Дансны авлага</t>
  </si>
  <si>
    <t>Бусад санхүүгийн хөрөнгө</t>
  </si>
  <si>
    <t>Бараа материал</t>
  </si>
  <si>
    <t>Урьдчилж төлсөн зардал/тооцоо</t>
  </si>
  <si>
    <t>Бусад эргэлтийн хөрөнгө</t>
  </si>
  <si>
    <t>Борлуулах зорилгоор эзэмшиж буй эргэлтийн бус хөрөнгө ( борлуулах бүлэг хөрөнгө)</t>
  </si>
  <si>
    <t>1.1.10</t>
  </si>
  <si>
    <t>Богино хугацаат хөрөнгө оруулалт</t>
  </si>
  <si>
    <t>Эргэлтийн хөрөнгийн дүн</t>
  </si>
  <si>
    <t>Эргэлтийн бус хөрөнгө</t>
  </si>
  <si>
    <t>Үндсэн хөрөнгө</t>
  </si>
  <si>
    <t>Биологийн хөрөнгө</t>
  </si>
  <si>
    <t>Хайгуул ба үнэлгээний хөрөнгө</t>
  </si>
  <si>
    <t>Хойшлогдсон татварын хөрөнгө</t>
  </si>
  <si>
    <t>Хөрөнгө оруулалтын зориулалттай үл хөдлөх хөрөнгө</t>
  </si>
  <si>
    <t>Бусад эргэлтийн бус хөрөнгө</t>
  </si>
  <si>
    <t>Хуримтлагдсан элэгдэл</t>
  </si>
  <si>
    <t>Эргэлтийн бус хөрөнгийн дүн</t>
  </si>
  <si>
    <t>НИЙТ ХӨРӨНГИЙН ДҮН</t>
  </si>
  <si>
    <t>ӨР ТӨЛБӨР БА ЭЗДИЙН ӨМЧ</t>
  </si>
  <si>
    <t>ӨР ТӨЛБӨР</t>
  </si>
  <si>
    <t>Богино хугацаат өр төлбөр</t>
  </si>
  <si>
    <t>Дансны өглөг</t>
  </si>
  <si>
    <t>НДШ -ийн өглөг</t>
  </si>
  <si>
    <t>Богино хугацаат зээл</t>
  </si>
  <si>
    <t>Хүүний өглөг</t>
  </si>
  <si>
    <t>Ногдол ашгийн өглөг</t>
  </si>
  <si>
    <t>Нөөц /өр төлбөр/</t>
  </si>
  <si>
    <t>Борлуулах зорилгоор эзэмшиж буй эргэлтийн бус хөрөнгө ( борлуулах бүлэг хөрөнгө)-нд хамаарах өр төлбөр</t>
  </si>
  <si>
    <t>2.1.1.12</t>
  </si>
  <si>
    <t>2.1.1.20</t>
  </si>
  <si>
    <t>Богино хугацаат өр төлбөрийн дүн</t>
  </si>
  <si>
    <t>Урт хугацаат өр төлбөр</t>
  </si>
  <si>
    <t>Урт хугацаат зээл</t>
  </si>
  <si>
    <t>Хойшлогдсон татварын өр</t>
  </si>
  <si>
    <t>2.1.2.5</t>
  </si>
  <si>
    <t>Урт хугацаат өр төлбөрийн дүн</t>
  </si>
  <si>
    <t>2.2.20</t>
  </si>
  <si>
    <t>Өр төлбөрийн нийт дүн</t>
  </si>
  <si>
    <t>Эзэмшигчдийн өмч</t>
  </si>
  <si>
    <t>Өмч:   а)   төрийн</t>
  </si>
  <si>
    <t xml:space="preserve">            в)   хувьцаат</t>
  </si>
  <si>
    <t>Гадаад вальтын хөрвүүлэлтийн нөөц</t>
  </si>
  <si>
    <t>Хуримтлагдсан ашиг (алдагдал)</t>
  </si>
  <si>
    <t>2.3.10</t>
  </si>
  <si>
    <t>Эзэмшигчдийн өмчийн дүн</t>
  </si>
  <si>
    <t>Өр төлбөр болон эзэмшигчийн өмчийн дүн</t>
  </si>
  <si>
    <t>Захирал__________________________________</t>
  </si>
  <si>
    <t xml:space="preserve">Ерөнхий нягтлан бодогч      ____________________________  </t>
  </si>
  <si>
    <t xml:space="preserve">                                                      ОРЛОГЫН ТАЙЛАН</t>
  </si>
  <si>
    <t>Нийт ашиг /алдагдал/</t>
  </si>
  <si>
    <t>Ноогдол ашгийн орлого</t>
  </si>
  <si>
    <t>Борлуулалт маркетингийн зардал</t>
  </si>
  <si>
    <t>Гадаад вальютын ханшийн зөрүүний олз/гарз/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</si>
  <si>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</si>
  <si>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</si>
  <si>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</si>
  <si>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/алдагдал/</t>
  </si>
  <si>
    <t>Татвар төлөхийн өмнөх ашиг /алдагдал/</t>
  </si>
  <si>
    <t>Орлогын албан татварын зардал</t>
  </si>
  <si>
    <t>Татварын дараах ашиг /алдагдал/</t>
  </si>
  <si>
    <t>Зогсоосон үйл ажиллагааны татварын дараах ашиг /алдагдал/</t>
  </si>
  <si>
    <t>Тайлант үеийн цэвэр ашиг ( алдагдал)</t>
  </si>
  <si>
    <t>Гадаад валютын хөрвүүлэлтийн зөрүү</t>
  </si>
  <si>
    <t>Бусад олз /гарз/</t>
  </si>
  <si>
    <t>Нэгж хувьцаанд ногдох суурь ашиг /алдагдал/</t>
  </si>
  <si>
    <t>ӨМЧИЙН ӨӨРЧЛӨЛТИЙН ТАЙЛАН</t>
  </si>
  <si>
    <t>ҮЗҮҮЛЭЛТ</t>
  </si>
  <si>
    <t>Хувьцаат капитал</t>
  </si>
  <si>
    <t>НТК</t>
  </si>
  <si>
    <t>Дахин үнэлгээний зөрүү</t>
  </si>
  <si>
    <t>2023  оны 12 сарын 31 үлдэгдэл</t>
  </si>
  <si>
    <t>Balance as at 31 December 2016</t>
  </si>
  <si>
    <t>Бүртгэлийн бодлогын өөрчлөлт</t>
  </si>
  <si>
    <t>Changes in accounting policy</t>
  </si>
  <si>
    <t>Adjusted balance</t>
  </si>
  <si>
    <t>Net profit for the period</t>
  </si>
  <si>
    <t>Other comprehensive income</t>
  </si>
  <si>
    <t>Өмчид гарсан өөрчлөлт</t>
  </si>
  <si>
    <t>Changes in equity</t>
  </si>
  <si>
    <t>Dividends</t>
  </si>
  <si>
    <t>Дахин үнэлгээний нэмэгдлийн хэгэгжсэн дүн</t>
  </si>
  <si>
    <t>Changes in Fixed Assets Revaluation Surplus</t>
  </si>
  <si>
    <t>2024 оны 12 сарын 31 үлд</t>
  </si>
  <si>
    <t>Balance as at 31 December 2017</t>
  </si>
  <si>
    <t>Тайлант үеийн цэвэр ашиг</t>
  </si>
  <si>
    <t>Balance as at 31 Dec 2018</t>
  </si>
  <si>
    <t xml:space="preserve">                                                                            МӨНГӨН ГҮЙЛГЭЭНИЙ ТАЙЛАН</t>
  </si>
  <si>
    <t>2024.12.31</t>
  </si>
  <si>
    <t>Үндсэн үйл ажиллагааны мөнгөн гүйлгээ</t>
  </si>
  <si>
    <t>Мөнгөн орлогын дүн (+)</t>
  </si>
  <si>
    <t>Бараа борлуулсан, үйлчилгээ үзүүлсний орлого</t>
  </si>
  <si>
    <t>Эрхийн шимтгэл, хураамж, төлбөрийн орлого</t>
  </si>
  <si>
    <t>Даатгалын нөхвөрөөс хүлээн авсан мөнгө</t>
  </si>
  <si>
    <t>Буцаан авсан албан татвар</t>
  </si>
  <si>
    <t>Татаас, санхүүжилтийн орлого</t>
  </si>
  <si>
    <t>Бусад мөнгөн орлого</t>
  </si>
  <si>
    <t>Мөнгөн зарлагын дүн (-)</t>
  </si>
  <si>
    <t>Ажиллагчдад олгосон мөнгө</t>
  </si>
  <si>
    <t>Нийгмийн даатгалын байгууллагад төлсөн мөнгө</t>
  </si>
  <si>
    <t>Түүхий эд материал худалдан авахад төлсөн мөнгө</t>
  </si>
  <si>
    <t>Ашиглалтын зардалд төлсөн мөнгө</t>
  </si>
  <si>
    <t>Түлш шатахуун тээврийн хөлс, сэлбэг хэрэгсэлд төлсөн мөнгө</t>
  </si>
  <si>
    <t>Төлсөн хүү</t>
  </si>
  <si>
    <t>Татварын байгууллагад төлсөн</t>
  </si>
  <si>
    <t>Даатгалын төлбөрт төлсөн мөнгө</t>
  </si>
  <si>
    <t xml:space="preserve">Бусад </t>
  </si>
  <si>
    <t>Үндсэн үйл ажиллагааны цэвэр мөнгөн гүйлгээний дүн</t>
  </si>
  <si>
    <t>Хөрөнгө оруулалтын үйл ажиллагааны мөнгөн гүйлгээ</t>
  </si>
  <si>
    <t>Үндсэн хөрөнгө борлуулсны орлого</t>
  </si>
  <si>
    <t>Биет бус хөрөнгө борлуулсны орлого</t>
  </si>
  <si>
    <t>Худалдсан хөрөнгө оруулалтын орлого</t>
  </si>
  <si>
    <t>Бусад урт хугацаат хөрөнгө худалдсан орлого</t>
  </si>
  <si>
    <t>Бусдад олгосон зээл, мөнгөн урьдчилгааны буцаан төлөлт</t>
  </si>
  <si>
    <t>Хүлээн авсан хүүний орлого</t>
  </si>
  <si>
    <t>Хүлээн авсан ноогдол ашиг</t>
  </si>
  <si>
    <t>Үндсэн хөрөнгө олж эзэмшихэд төлсөн</t>
  </si>
  <si>
    <t>Биет бус хөрөнгө олж эзэмшихэд төлсөн</t>
  </si>
  <si>
    <t>Хөрөнгө оруулалт олж эзэмшихэд төлсөн</t>
  </si>
  <si>
    <t>Бусад урт хугацаат хөрөнгө олж эзэмшихэд төлсөн</t>
  </si>
  <si>
    <t>Бусдад олгосон зээл болон урьдчилгаа</t>
  </si>
  <si>
    <t>Хөрөнгө оруулалтын үйл ажиллагааны цэвэр мөнгөн гүйлгээний дүн</t>
  </si>
  <si>
    <t>Санхүүгийн үйл ажиллагааны мөнгөн гүйлгээ</t>
  </si>
  <si>
    <t>Зээл авсан, өрийн үнэт цаас гаргаснаас хүлээн авсан</t>
  </si>
  <si>
    <t>Хувьцаа болон өмчийн бусад үнэт цаас гаргасан хүлээн авсан</t>
  </si>
  <si>
    <t>Төрөл бүрийн хандив</t>
  </si>
  <si>
    <t>Зээл, өрийн үнэт цаасны төлбөрт төлсөн мөнгө</t>
  </si>
  <si>
    <t>Санхүүгийн түрээсийн өглөгт төлсөн</t>
  </si>
  <si>
    <t>Хувьцаа буцаан худалдаж авхад төлсөн</t>
  </si>
  <si>
    <t>Төлсөн ногдол ашиг</t>
  </si>
  <si>
    <t>Санхүүгийн үйл ажиллагааны цэвэр мөнгөн гүйлгээний дүн</t>
  </si>
  <si>
    <t>Валютын ханшны зөрүү</t>
  </si>
  <si>
    <t>Бүх цэвэр мөнгөн гүйлгээ</t>
  </si>
  <si>
    <t>Мөнгө, түүнтэй адилтгах хөрөнгийн эхний үлдэгдэл</t>
  </si>
  <si>
    <t>Мөнгө, түүнтэй адилтгах хөрөнгийн эцсийн үлдэгдэл</t>
  </si>
  <si>
    <t xml:space="preserve">2025 оны  12 сарын 31 өдөр </t>
  </si>
  <si>
    <t>2025 оны 12  сарын 31 үлдэгдэл</t>
  </si>
  <si>
    <t>Татан авалтын тооцоо шилжүүлэв</t>
  </si>
  <si>
    <t>Сар</t>
  </si>
  <si>
    <t>Нэрс</t>
  </si>
  <si>
    <t>77 дугаар тушаалын</t>
  </si>
  <si>
    <t>3 дугаар хавсралт</t>
  </si>
  <si>
    <t>Регистрийн дугаар :</t>
  </si>
  <si>
    <t xml:space="preserve">Хаяг :  </t>
  </si>
  <si>
    <t>Шуудангийн хаяг :</t>
  </si>
  <si>
    <t>Утас :</t>
  </si>
  <si>
    <t>Факс :</t>
  </si>
  <si>
    <t>Өмчийн хэлбэр :</t>
  </si>
  <si>
    <t>Төрийн.......хувь</t>
  </si>
  <si>
    <r>
      <t xml:space="preserve">Хувийн </t>
    </r>
    <r>
      <rPr>
        <b/>
        <sz val="12"/>
        <rFont val="Arial Mon"/>
        <family val="2"/>
      </rPr>
      <t>100</t>
    </r>
    <r>
      <rPr>
        <sz val="12"/>
        <rFont val="Arial Mon"/>
        <family val="2"/>
      </rPr>
      <t xml:space="preserve"> хувь</t>
    </r>
  </si>
  <si>
    <t>"ЖИДАКС" ХК-ИЙН</t>
  </si>
  <si>
    <t>САНХҮҮГИЙН ТАЙЛАН</t>
  </si>
  <si>
    <t>Хянаж хүлээн авсан байгууллагын нэр</t>
  </si>
  <si>
    <t xml:space="preserve">"ЖИДАКС" ХК-НИЙ </t>
  </si>
  <si>
    <t>бодит байдлын тухай мэдэгдэл</t>
  </si>
  <si>
    <t>Үүнд:</t>
  </si>
  <si>
    <t xml:space="preserve">Бүх ажил гүйлгээ бодитоор гарсан бөгөөд холбогдох анхан шатны баримтыг үндэслэн </t>
  </si>
  <si>
    <t>нягтлан бодох бүртгэл, санхүүгийн тайланд үнэн зөв тусгасан</t>
  </si>
  <si>
    <t>Санхүүгийн тайланд тусгагдсан бүх тооцоолол үнэн зөв хийгдсэн</t>
  </si>
  <si>
    <t xml:space="preserve">Аж ахуйн нэгжийн үйл ажиллагааны эдийн засаг, санхүүгийн бүхий л үйл явцыг </t>
  </si>
  <si>
    <t>иж бүрэн хамарсан</t>
  </si>
  <si>
    <t xml:space="preserve">Тайлант үеийн үр дүнд өмнөх оны ажил гүйлгээнээс шилжин тусгагдаагүй, мөн </t>
  </si>
  <si>
    <t>тайлант оны ажил гүйлгээнээс орхигдсон зүйл байхгүй</t>
  </si>
  <si>
    <t xml:space="preserve">Бүх хөрөнгө, авлага, өр төлбөр, орлого, зардлыг холбогдох Санхүүгийн тайлагналын </t>
  </si>
  <si>
    <t>олон улсын стандартын дагуу үнэн зөв тусгасан</t>
  </si>
  <si>
    <t xml:space="preserve">Энэ тайланд тусгагдсан бүхий л зүйл манай байгууллагын албан ёсны өмчлөлд байдаг </t>
  </si>
  <si>
    <t>бөгөөд орхигдсон зүйл үгүй болно.</t>
  </si>
  <si>
    <t xml:space="preserve"> Захирал_____________________________________  </t>
  </si>
  <si>
    <t xml:space="preserve">2025 оны 12 сарын 31 өдөр </t>
  </si>
  <si>
    <t xml:space="preserve">2025 оны 4-р улирлын санхүүгийн тайлангийн </t>
  </si>
  <si>
    <t xml:space="preserve">2025 ОНЫ 4-Р УЛИРЛЫН </t>
  </si>
  <si>
    <t>Тайлант жилийн дүн</t>
  </si>
  <si>
    <t>Өмнөх оны дүн</t>
  </si>
  <si>
    <t>Өмнөх оны</t>
  </si>
  <si>
    <t>Тайлант оны</t>
  </si>
  <si>
    <t>Байгууллагын нэр: Жидакс</t>
  </si>
  <si>
    <t>Регистр: 2049929</t>
  </si>
  <si>
    <t>1. Мөнгө түүнтэй адилтгах хөрөнгө</t>
  </si>
  <si>
    <t>1</t>
  </si>
  <si>
    <t>2</t>
  </si>
  <si>
    <t>3</t>
  </si>
  <si>
    <t>4</t>
  </si>
  <si>
    <t/>
  </si>
  <si>
    <t>Найдваргүй авлагын хасагдуулга</t>
  </si>
  <si>
    <t>Дансны авлага (цэвэр дүнгээр)</t>
  </si>
  <si>
    <t xml:space="preserve"> 2</t>
  </si>
  <si>
    <t>Нэмэгдсэн</t>
  </si>
  <si>
    <t>Хасагдсан</t>
  </si>
  <si>
    <t xml:space="preserve"> 3.1</t>
  </si>
  <si>
    <t>-Төлөгдсөн</t>
  </si>
  <si>
    <t xml:space="preserve"> 3.2</t>
  </si>
  <si>
    <t>-Найдваргүй болсон</t>
  </si>
  <si>
    <t>4.1. Татварын авлага</t>
  </si>
  <si>
    <t>НДШ-ийн авлага</t>
  </si>
  <si>
    <t>4.1. Бусад богино хугацаат авлага</t>
  </si>
  <si>
    <t>Холбоотой талаас авах авлагын тайлант хугацаанд хамаарах дүн</t>
  </si>
  <si>
    <t>Ажиллагчдаас авах авлага</t>
  </si>
  <si>
    <t>Ноогдол ашгийн авлага</t>
  </si>
  <si>
    <t>Хүүний авлага</t>
  </si>
  <si>
    <t>Богино хугацаат авлагын бичиг</t>
  </si>
  <si>
    <t>Бусад талуудаас авах авлага</t>
  </si>
  <si>
    <t>5. Бусад санхүүгийн хөрөнгө</t>
  </si>
  <si>
    <t xml:space="preserve"> 1</t>
  </si>
  <si>
    <t>6. Бараа материал</t>
  </si>
  <si>
    <t>Нэмэгдсэн дүн</t>
  </si>
  <si>
    <t>Хасагдсан дүн</t>
  </si>
  <si>
    <t>5</t>
  </si>
  <si>
    <t>Тэмдэглэл</t>
  </si>
  <si>
    <t>8. Урьдчилж төлсөн зардал/тооцоо</t>
  </si>
  <si>
    <t>Газрын сайжруулалт</t>
  </si>
  <si>
    <t>Тээврийн хэрэгсэл</t>
  </si>
  <si>
    <t>Тавилга эд хогшил</t>
  </si>
  <si>
    <t>Компьютер, бусад хэрэгсэл</t>
  </si>
  <si>
    <t>Бусад үндсэн хөрөнгө</t>
  </si>
  <si>
    <t>1.1</t>
  </si>
  <si>
    <t>1.2</t>
  </si>
  <si>
    <t xml:space="preserve"> 1.2.1</t>
  </si>
  <si>
    <t xml:space="preserve"> 1.2.2</t>
  </si>
  <si>
    <t>1.3</t>
  </si>
  <si>
    <t>1.4</t>
  </si>
  <si>
    <t>1.5</t>
  </si>
  <si>
    <t>1.6</t>
  </si>
  <si>
    <t>2.1</t>
  </si>
  <si>
    <t>2.2</t>
  </si>
  <si>
    <t xml:space="preserve"> 2.2.1</t>
  </si>
  <si>
    <t xml:space="preserve"> 2.2.2</t>
  </si>
  <si>
    <t>2.3</t>
  </si>
  <si>
    <t>2.4</t>
  </si>
  <si>
    <t>Зохиогчийн эрх</t>
  </si>
  <si>
    <t>Компьютерийн программ хангамж</t>
  </si>
  <si>
    <t>Патент</t>
  </si>
  <si>
    <t>Барааны тэмдэг</t>
  </si>
  <si>
    <t>Тусгай зөвшөөрөл</t>
  </si>
  <si>
    <t>Газар эзэмших эрх</t>
  </si>
  <si>
    <t>12. Биологийн хөрөнгө</t>
  </si>
  <si>
    <t>Нас</t>
  </si>
  <si>
    <t>Хүйс</t>
  </si>
  <si>
    <t>Дансны үнэ</t>
  </si>
  <si>
    <t>0</t>
  </si>
  <si>
    <t>13. Урт хугацаат хөрөнгө оруулалт</t>
  </si>
  <si>
    <t>Хөрөнгө оруулалтын хувь</t>
  </si>
  <si>
    <t>Хөрөнгө оруулалтын дүн</t>
  </si>
  <si>
    <t>15. Бусад эргэлтийн бус хөрөнгө</t>
  </si>
  <si>
    <t>16.1. Дансны өглөг</t>
  </si>
  <si>
    <t>Төлөгдөх хугацаандаа байгаа</t>
  </si>
  <si>
    <t>Хугацаа хэтэрсэн</t>
  </si>
  <si>
    <t xml:space="preserve"> 3</t>
  </si>
  <si>
    <t>16.2. Татварын өр</t>
  </si>
  <si>
    <t>ААНОАТ өр</t>
  </si>
  <si>
    <t>НӨАТ -ын өр</t>
  </si>
  <si>
    <t>ХХОАТ -ын өр</t>
  </si>
  <si>
    <t xml:space="preserve"> 4</t>
  </si>
  <si>
    <t>Онцгой АТ -н өр</t>
  </si>
  <si>
    <t xml:space="preserve"> 5</t>
  </si>
  <si>
    <t>Бусад татварын өр</t>
  </si>
  <si>
    <t xml:space="preserve"> 6</t>
  </si>
  <si>
    <t>16.3. Богино хугацаат зээл</t>
  </si>
  <si>
    <t>төгрөгөөр</t>
  </si>
  <si>
    <t>валютаар</t>
  </si>
  <si>
    <t>Зээл-Компани /Их Бараат ХХК/</t>
  </si>
  <si>
    <t>16.4. Богино хугацаат нөөц өр төлбөр</t>
  </si>
  <si>
    <t>Хасагдсан (ашигласан нөөц)</t>
  </si>
  <si>
    <t>Ашиглаагүй буцаан бичсэн дүн</t>
  </si>
  <si>
    <t>Баталгаат засварын</t>
  </si>
  <si>
    <t>Нөхөн сэргээлтийн</t>
  </si>
  <si>
    <t>16.5. Бусад богино хугацаат өр төлбөр</t>
  </si>
  <si>
    <t>16.6. Урт хугацаат зээл болон бусад урт хугацаат өр төлбөр</t>
  </si>
  <si>
    <t>Урт хугацаат зээлийн дүн</t>
  </si>
  <si>
    <t xml:space="preserve"> 1.1</t>
  </si>
  <si>
    <t>Гадаадын байгууллагаас шууд авсан зээл</t>
  </si>
  <si>
    <t xml:space="preserve"> 1.2</t>
  </si>
  <si>
    <t>Гадаадын байгууллагаас дамжуулан авсан зээл</t>
  </si>
  <si>
    <t xml:space="preserve"> 1.3</t>
  </si>
  <si>
    <t>Дотоодын эх үүсвэрээс авсан зээл</t>
  </si>
  <si>
    <t>Бусад урт хугацаат өр төлбөрийн дүн</t>
  </si>
  <si>
    <t xml:space="preserve"> 2.1</t>
  </si>
  <si>
    <t>(Гадаад, дотоодын зах зээлд гаргасан бонд, өрийн бичиг)</t>
  </si>
  <si>
    <t xml:space="preserve"> 2.2</t>
  </si>
  <si>
    <t>17.1. Өмч</t>
  </si>
  <si>
    <t>Тоо ширхэг</t>
  </si>
  <si>
    <t>Дүн (төгрөгөөр)</t>
  </si>
  <si>
    <t>(Төгрөгөөр)</t>
  </si>
  <si>
    <t>17.2. Хөрөнгийн дахин үнэлгээний нэмэгдэл</t>
  </si>
  <si>
    <t>Үндсэн хөрөнгийн дахин үнэлгээний нэмэгдэл</t>
  </si>
  <si>
    <t>Биет бус хөрөнгийн дахин үнэлгээний нэмэгдэл</t>
  </si>
  <si>
    <t>Дахин үнэлгээний нэмэгдлийн зөрүү</t>
  </si>
  <si>
    <t>Дахин үнэлсэн хөрөнгийн үнэ цэнийн бууралтын гарзын буцаалт</t>
  </si>
  <si>
    <t>Дахин үнэлгээний нэмэгдлийн хэрэгжсэн дүн</t>
  </si>
  <si>
    <t xml:space="preserve"> 3.3</t>
  </si>
  <si>
    <t>Дахин үнэлсэн хөрөнгийн үнэ цэнийн бууралтын гарз</t>
  </si>
  <si>
    <t>17.3. Гадаад валютын хөрвүүлэлтийн нөөц</t>
  </si>
  <si>
    <t>Гадаад үйл ажиллагааны хөрвүүлэлтээс үүссэн зөрүү</t>
  </si>
  <si>
    <t>Бүртгэлийн валютыг толилуулгын валют руу хөрвүүлснээс үүссэн зөрүү</t>
  </si>
  <si>
    <t>Борлуулалтын орлого:</t>
  </si>
  <si>
    <t>Бараа, бүтээгдэхүүн борлуулсны орлого:</t>
  </si>
  <si>
    <t>Ажил, үйлчилгээ борлуулсны орлого:</t>
  </si>
  <si>
    <t>Нийт борлуулалтын орлого</t>
  </si>
  <si>
    <t>Борлуулалтын буцаалт, хөнгөлөлт, үнийн бууралт (-)</t>
  </si>
  <si>
    <t>Цэвэр борлуулалт</t>
  </si>
  <si>
    <t>Борлуулсан бүтээгдэхүүний өртөг:</t>
  </si>
  <si>
    <t xml:space="preserve"> 6.1</t>
  </si>
  <si>
    <t>Борлуулсан бараа, борлуулалтын өртөг</t>
  </si>
  <si>
    <t xml:space="preserve"> 6.2</t>
  </si>
  <si>
    <t xml:space="preserve"> 7.1</t>
  </si>
  <si>
    <t>Борлуулсан ажил, үйлчилгээний өртөг</t>
  </si>
  <si>
    <t xml:space="preserve"> 7.2</t>
  </si>
  <si>
    <t xml:space="preserve"> 8</t>
  </si>
  <si>
    <t>Нийт борлуулсан бүтээгдэхүүний өртөг</t>
  </si>
  <si>
    <t>19.1. Бусад орлого</t>
  </si>
  <si>
    <t>19.2. Гадаад валютын ханшийн зөрүүний олз, гарз</t>
  </si>
  <si>
    <t>Мөнгөн хөрөнгийн үлдэгдлийн</t>
  </si>
  <si>
    <t>Авлагын үлдэгдлийн</t>
  </si>
  <si>
    <t>Богино  хугацаат  болон  урт  хугацаат  өр   төлбөрийн үлдэгдлийн</t>
  </si>
  <si>
    <t>Бусад ханшийн зөрүүний ашиг, алдагдал</t>
  </si>
  <si>
    <t>19.3. Бусад ашиг / алдагдал</t>
  </si>
  <si>
    <t>Хөрөнгийн үнэ цэнийн бууралтын гарз</t>
  </si>
  <si>
    <t>ХОЗҮХХ28-ийн  бодит үнэ цэнийн өөрчлөлтийн олз, гарз</t>
  </si>
  <si>
    <t>ХОЗҮХХ данснаас хассаны олз, гарз</t>
  </si>
  <si>
    <t>Хөрөнгийн дахин үнэлгээний олз, гарз</t>
  </si>
  <si>
    <t>Хөрөнгийн үнэ цэнийн бууралтын гарз (гарзын буцаалт)</t>
  </si>
  <si>
    <t>20.1. Борлуулалт маркетингийн зардал</t>
  </si>
  <si>
    <t>БорМар</t>
  </si>
  <si>
    <t>Ажиллагчдын цалингийн зардал</t>
  </si>
  <si>
    <t>Аж ахуйн нэгжээс төлсөн НДШ-ийн зардал</t>
  </si>
  <si>
    <t>Албан татвар, төлбөр, хураамжийн зардал</t>
  </si>
  <si>
    <t>Томилолтын зардал</t>
  </si>
  <si>
    <t>Шуудан холбооны зардал</t>
  </si>
  <si>
    <t xml:space="preserve"> 7</t>
  </si>
  <si>
    <t>Мэргэжлийн үйлчилгээний зардал</t>
  </si>
  <si>
    <t>Сургалтын  зардал</t>
  </si>
  <si>
    <t xml:space="preserve"> 9</t>
  </si>
  <si>
    <t>Сонин сэтгүүл захиалгын  зардал</t>
  </si>
  <si>
    <t xml:space="preserve"> 10</t>
  </si>
  <si>
    <t>Даатгалын зардал</t>
  </si>
  <si>
    <t xml:space="preserve"> 11</t>
  </si>
  <si>
    <t>Ашиглалтын зардал</t>
  </si>
  <si>
    <t xml:space="preserve"> 12</t>
  </si>
  <si>
    <t>Засварын зардал</t>
  </si>
  <si>
    <t xml:space="preserve"> 13</t>
  </si>
  <si>
    <t>Элэгдэл, хорогдлын зардал</t>
  </si>
  <si>
    <t xml:space="preserve"> 14</t>
  </si>
  <si>
    <t xml:space="preserve"> 15</t>
  </si>
  <si>
    <t>Харуул хамгааллын зардал</t>
  </si>
  <si>
    <t xml:space="preserve"> 16</t>
  </si>
  <si>
    <t>Цэвэрлэгээ үйлчилгээний зардал</t>
  </si>
  <si>
    <t xml:space="preserve"> 17</t>
  </si>
  <si>
    <t xml:space="preserve"> 18</t>
  </si>
  <si>
    <t>Шатахууны зардал</t>
  </si>
  <si>
    <t xml:space="preserve"> 19</t>
  </si>
  <si>
    <t>Хүлээн авалтын зардал</t>
  </si>
  <si>
    <t xml:space="preserve"> 20</t>
  </si>
  <si>
    <t xml:space="preserve"> 21</t>
  </si>
  <si>
    <t>20.2. Бусад зарлага</t>
  </si>
  <si>
    <t>Тайлант оны дүн</t>
  </si>
  <si>
    <t>Алданги, торгуулийн зардал</t>
  </si>
  <si>
    <t>Хандивын зардал</t>
  </si>
  <si>
    <t>Найдваргүй авлагын зардал</t>
  </si>
  <si>
    <t>Хүлээн авалт, баяр ёслол, захирлын хэрэглээ</t>
  </si>
  <si>
    <t>20.3. Цалингийн зардал</t>
  </si>
  <si>
    <t>Ажиллагчдын дундаж тоо</t>
  </si>
  <si>
    <t>Үйлдвэрлэл, үйлчилгээний</t>
  </si>
  <si>
    <t>Борлуулалт маркетингийн</t>
  </si>
  <si>
    <t>Ерөнхий ба удирдлагын</t>
  </si>
  <si>
    <t>1. Орлогын татварын зардал</t>
  </si>
  <si>
    <t>22.1. Толгой компани, хамгийн дээд хяналт тавигч компани, хувь хүний талаарх мэдээлэл</t>
  </si>
  <si>
    <t>Толгой компани</t>
  </si>
  <si>
    <t>Хамгийн дээд хяналт тавигч толгой компани</t>
  </si>
  <si>
    <t>Хамгийн дээд хяналт тавигч хувь хүн</t>
  </si>
  <si>
    <t>Тайлбар</t>
  </si>
  <si>
    <t>Бүртгэгдсэн (оршин суугаа) улс</t>
  </si>
  <si>
    <t>Эзэмшлийн хувь</t>
  </si>
  <si>
    <t>22.2. Тэргүүлэх удирдлагын бүрэлдэхүүнд олгосон нөхөн олговрын тухай мэдээлэл</t>
  </si>
  <si>
    <t>Богино хугацааны тэтгэмж</t>
  </si>
  <si>
    <t>Урт хугацааны тэтгэмж</t>
  </si>
  <si>
    <t>Ажил эрхлэлтийн дараах тэтгэмж</t>
  </si>
  <si>
    <t>Ажлаас халагдсаны тэтгэмж</t>
  </si>
  <si>
    <t>Хувьцаанд суурилсан төлбөр</t>
  </si>
  <si>
    <t>22.3. Холбоотой талуудтай хийсэн ажил гүйлгээ</t>
  </si>
  <si>
    <t>Ажил гүйлгээний утга</t>
  </si>
  <si>
    <t>25. Хөрөнгө оруулалт</t>
  </si>
  <si>
    <t>Аж ахуй нэгжийн өөрийн хөрөнгөөр</t>
  </si>
  <si>
    <t>Улсын төсвийн хөрөнгөөр</t>
  </si>
  <si>
    <t>Орон нутгийн төсвийн хөрөнгөөр</t>
  </si>
  <si>
    <t>Банкны зээл</t>
  </si>
  <si>
    <t>Гадаадын шууд хөрөнгө оруулалт</t>
  </si>
  <si>
    <t>Гадаадын зээл</t>
  </si>
  <si>
    <t>Гадаадын буцалтгүй тусламж</t>
  </si>
  <si>
    <t>Төсөв хөтөлбөр, хандив</t>
  </si>
  <si>
    <t>Бусад эх үүсвэр</t>
  </si>
  <si>
    <t>Биет хөрөнгө</t>
  </si>
  <si>
    <t>Үүнээс: Орон сууцны барилга</t>
  </si>
  <si>
    <t>Авто зам</t>
  </si>
  <si>
    <t>Машин тоног, төхөөрөмж</t>
  </si>
  <si>
    <t>1.7</t>
  </si>
  <si>
    <t>1.8</t>
  </si>
  <si>
    <t>Бусад биет хөрөнгө:</t>
  </si>
  <si>
    <t xml:space="preserve"> 1.8.1</t>
  </si>
  <si>
    <t>Үүнээс:  ХОЗҮХХ</t>
  </si>
  <si>
    <t>1.10</t>
  </si>
  <si>
    <t>Биет хөрөнгийн дүн</t>
  </si>
  <si>
    <t>Биет бус хөрөнгө:</t>
  </si>
  <si>
    <t>Үүнээс: Програм хангамж</t>
  </si>
  <si>
    <t>Мэдээллийн сан</t>
  </si>
  <si>
    <t>2.5</t>
  </si>
  <si>
    <t>2.6</t>
  </si>
  <si>
    <t>2.7</t>
  </si>
  <si>
    <t xml:space="preserve"> 2.7.1</t>
  </si>
  <si>
    <t>Үүнээс зураг төсвийн ажил ТЭЗҮ боловсруулах, туршилт судалгаа</t>
  </si>
  <si>
    <t>2.8</t>
  </si>
  <si>
    <t>Биет бус хөрөнгийн дүн</t>
  </si>
  <si>
    <t>Хайгуул үнэлгээний хөрөнгө</t>
  </si>
  <si>
    <t>Үүнээс: Биет хөрөнгө</t>
  </si>
  <si>
    <t>Биет бус хөрөнгө</t>
  </si>
  <si>
    <t>20.4. Eрөнхий удирдлагын зардал</t>
  </si>
  <si>
    <t>ЕрУд</t>
  </si>
  <si>
    <t>Мөнгөн хөрөнгийн зүйлс</t>
  </si>
  <si>
    <t>1. Касс дахь мөнгө</t>
  </si>
  <si>
    <t>0.00</t>
  </si>
  <si>
    <t>2. Банкин дахь мөнгө</t>
  </si>
  <si>
    <t>3. Мөнгөтэй адилтгах хөрөнгө</t>
  </si>
  <si>
    <t>4. Нийт дүн</t>
  </si>
  <si>
    <t>Төрөл</t>
  </si>
  <si>
    <t>1. Урьдчилж төлсөн зардал</t>
  </si>
  <si>
    <t>2. Урьдчилж төлсөн түрээс</t>
  </si>
  <si>
    <t>3. Бэлтгэн нийлүүлэгчдэд төлсөн урьдчилгаа төлбөр</t>
  </si>
  <si>
    <t>4 Бусад төрөл</t>
  </si>
  <si>
    <t xml:space="preserve">Захирал  Lee  овогтой Jeoung Ho , ерөнхий нягтлан бодогч Эрдэнэбаатар овогтой Баяргэрэл бид манай аж ахуйн нэгжийн 2025 оны  12 сарын 31-ний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бүрэн тусгасан болохыг баталж байна. </t>
  </si>
  <si>
    <t>2. Нийт дүн</t>
  </si>
  <si>
    <t>1.1. Түүхий эд</t>
  </si>
  <si>
    <t>1.2. Дуусаагүй үйлдвэрлэл</t>
  </si>
  <si>
    <t>1.3. Бэлэн бүтээгдэхүүн</t>
  </si>
  <si>
    <t>1.4. Бараа</t>
  </si>
  <si>
    <t>1.5. Хангамжийн материал</t>
  </si>
  <si>
    <t>1.6.Бусад</t>
  </si>
  <si>
    <t>1. Эхний үлдэгдэл (өртгөөр)</t>
  </si>
  <si>
    <t>2. Нэмэгдсэн дүн</t>
  </si>
  <si>
    <t>3. Хасагдсан дүн</t>
  </si>
  <si>
    <t>4. Эцсийн үлдэгдэл (өртгөөр)</t>
  </si>
  <si>
    <t>5. Үнийн бууралтын гарз(-)</t>
  </si>
  <si>
    <t>6. Үнийн бууралтын буцаалт</t>
  </si>
  <si>
    <t>7. Дансны цэвэр дүн:</t>
  </si>
  <si>
    <t>7.1 Эхний үлдэгдэл</t>
  </si>
  <si>
    <t>7.2 Эцсийн үлдэгдэл</t>
  </si>
  <si>
    <t>Машин, тоног төхөөрөмж</t>
  </si>
  <si>
    <t>1. ҮНДСЭН ХӨРӨНГӨ /ӨРТӨГ/</t>
  </si>
  <si>
    <t>1.1 Эхний үлдэгдэл</t>
  </si>
  <si>
    <t>1.2 Нэмэгдсэн дүн</t>
  </si>
  <si>
    <t>1.2.1 Худалдаж авсан, өөрөө барьж байгуулсан</t>
  </si>
  <si>
    <t>1.2.2 Улсын төсвийн хөрөнгө оруулалтаар</t>
  </si>
  <si>
    <t>1.2.3 Орон нутгийн төсвийн хөрөнгө оруулалтаар</t>
  </si>
  <si>
    <t>1.2.4 Зээл, тусламж хандиваар</t>
  </si>
  <si>
    <t>1.2.5 Бусад</t>
  </si>
  <si>
    <t>1.2.6 Дахин үнэлгээний нэмэгдэл</t>
  </si>
  <si>
    <t>1.3.1 Худалдсан</t>
  </si>
  <si>
    <t>1.3.2 Үнэгүй шилжүүлсэн</t>
  </si>
  <si>
    <t>1.3.3 Акталсан</t>
  </si>
  <si>
    <t>1.3.4 Бусад</t>
  </si>
  <si>
    <t>1.4 Үндсэн хөрөнгө дахин ангилсан</t>
  </si>
  <si>
    <t>1.6 Эцсийн үлдэгдэл</t>
  </si>
  <si>
    <t>2. ХУРИМТЛАГДСАН ЭЛЭГДЭЛ</t>
  </si>
  <si>
    <t>2.1 Эхний үлдэгдэл</t>
  </si>
  <si>
    <t>2.2 Нэмэгдсэн дүн</t>
  </si>
  <si>
    <t>2.2.1 Байгуулсан элэгдэл</t>
  </si>
  <si>
    <t>2.2.2 Дахин үнэлгээгээр нэмэгдсэн</t>
  </si>
  <si>
    <t>2.2.3 Үнэ цэнийн буу-ралтын буцаалт</t>
  </si>
  <si>
    <t>2.3 Хасагдсан дүн</t>
  </si>
  <si>
    <t>2.3.1 Данснаас хассан хөрөнгийн элэгдэл</t>
  </si>
  <si>
    <t>2.3.2 Дахин үнэлгээ-гээр буурсан</t>
  </si>
  <si>
    <t>2.3.3 Үнэ цэнийн бууралт</t>
  </si>
  <si>
    <t>2.4 Эцсийн үлдэгдэл</t>
  </si>
  <si>
    <t>3. ДАНСНЫ ЦЭВЭР ДҮН</t>
  </si>
  <si>
    <t>3.1 Эхний үлдэгдэл</t>
  </si>
  <si>
    <t>3.2 Эцсийн үлдэгдэл</t>
  </si>
  <si>
    <t>Хөрөнгөөр хүлээн зөвшөөрсөн хөгжүүлэлтийн хөрөнгө **</t>
  </si>
  <si>
    <t>1. БИЕТ БУС ХӨРӨНГӨ /ӨРТӨГ/</t>
  </si>
  <si>
    <t>1.2.1 Худалдаж авсан,дотооддоо бий болгосон</t>
  </si>
  <si>
    <t>1.2.2 Улсын төсвийн хөрөнгөөр</t>
  </si>
  <si>
    <t>1.2.3 Орон нутгийн төсвийн хөрөнгөөр</t>
  </si>
  <si>
    <t>1.4 Эцсийн үлдэгдэл</t>
  </si>
  <si>
    <t>2. ХУРИМТЛАГДСАН ХОРОГДОЛ</t>
  </si>
  <si>
    <t>2.2.1 Байгуулсан хорогдол</t>
  </si>
  <si>
    <t>2.2.3 Үнэ цэнийн бууралтын буцаалт</t>
  </si>
  <si>
    <t>2.3.1 Данснаас хассан хөрөнгийн хорогдол</t>
  </si>
  <si>
    <t>2. НДШ-ийн зардал</t>
  </si>
  <si>
    <t>1. Ажиллагчдын цалингийн зардал</t>
  </si>
  <si>
    <t>3. Албан татвар, төлбөр, хураамжийн зардал</t>
  </si>
  <si>
    <t>4. Томилолтын зардал</t>
  </si>
  <si>
    <t>5. Бичиг хэргийн зардал</t>
  </si>
  <si>
    <t>6. Шуудан холбооны зардал</t>
  </si>
  <si>
    <t>7. Мэргэжлийн үйлчилгээний зардал</t>
  </si>
  <si>
    <t>10. Даатгалын зардал</t>
  </si>
  <si>
    <t>11. Ашиглалтын зардал</t>
  </si>
  <si>
    <t>12. Засварын зардал</t>
  </si>
  <si>
    <t>13. Элэгдэл, хорогдлын зардал</t>
  </si>
  <si>
    <t>14. Түрээсийн зардал</t>
  </si>
  <si>
    <t>15. Харуул хамгааллын зардал</t>
  </si>
  <si>
    <t>16. Цэвэрлэгээ үйлчилгээний зардал</t>
  </si>
  <si>
    <t>17. Тээврийн зардал</t>
  </si>
  <si>
    <t>18. Шатахууны зардал</t>
  </si>
  <si>
    <t>19. Хүлээн авалтын зардал</t>
  </si>
  <si>
    <t>20. Зар сурталчилгааны зардал</t>
  </si>
  <si>
    <t>21. Хөдөлмөр аюулгүй байдлын зардал</t>
  </si>
  <si>
    <t>1. Тайлант үеийн орлогын татварын зардал</t>
  </si>
  <si>
    <t>2. Хойшлогдсон татварын зардал (орлого)</t>
  </si>
  <si>
    <t>3. Нийт дүн</t>
  </si>
  <si>
    <t>1.3 Хасагдсан дүн  (-)</t>
  </si>
  <si>
    <t>2.3.2 Дахин үнэлгээгээр  хасагдсан</t>
  </si>
  <si>
    <t>1.5 Үндсэн хөрөнгө,  ХОЗҮХХ хооронд дахин ангилсан</t>
  </si>
  <si>
    <t>Нягтлан бодогч ...................................... /Э.Баяргэрэл/</t>
  </si>
  <si>
    <t>Захирал ............................................. /Lee Jeoung Ho/</t>
  </si>
  <si>
    <t>91.28</t>
  </si>
  <si>
    <t>8.Сургалтын  зардал</t>
  </si>
  <si>
    <t>9. Сонин сэтгүүл захиалгын  зардал</t>
  </si>
  <si>
    <t>22. Судалгаа, хөгжүүлэлтийн зардал</t>
  </si>
  <si>
    <t>23 Бусад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</si>
</sst>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 #,##0_-;_-* &quot;-&quot;_-;_-@_-"/>
    <numFmt numFmtId="43" formatCode="_-* #,##0.00_-;\-* #,##0.00_-;_-* &quot;-&quot;??_-;_-@_-"/>
    <numFmt numFmtId="164" formatCode="_(&quot;$&quot;* #,##0.00_);_(&quot;$&quot;* \(#,##0.00\);_(&quot;$&quot;* &quot;-&quot;??_);_(@_)"/>
    <numFmt numFmtId="165" formatCode="_(* #,##0.00_);_(* \(#,##0.00\);_(* &quot;-&quot;??_);_(@_)"/>
    <numFmt numFmtId="166" formatCode="_(* #,##0_);_(* \(#,##0\);_(* &quot;-&quot;??_);_(@_)"/>
    <numFmt numFmtId="167" formatCode="_(* #,##0.0_);_(* \(#,##0.0\);_(* &quot;-&quot;??_);_(@_)"/>
    <numFmt numFmtId="168" formatCode="_(* #,##0.00000_);_(* \(#,##0.00000\);_(* &quot;-&quot;??_);_(@_)"/>
    <numFmt numFmtId="169" formatCode="[$₩-412]#,##0.00"/>
    <numFmt numFmtId="170" formatCode="_(* #,##0.000_);_(* \(#,##0.000\);_(* &quot;-&quot;??_);_(@_)"/>
    <numFmt numFmtId="171" formatCode="_(* #,##0.0000_);_(* \(#,##0.0000\);_(* &quot;-&quot;??_);_(@_)"/>
    <numFmt numFmtId="172" formatCode="yyyy\-mm\-dd;@"/>
    <numFmt numFmtId="173" formatCode="_(* #,##0.0_);_(* \(#,##0.0\);_(* &quot;-&quot;?_);_(@_)"/>
    <numFmt numFmtId="174" formatCode="0.0"/>
    <numFmt numFmtId="175" formatCode="_-* #,##0_-;\-* #,##0_-;_-* &quot;-&quot;??_-;_-@_-"/>
    <numFmt numFmtId="176" formatCode="[$-409]mmmm\ d\,\ yyyy;@"/>
    <numFmt numFmtId="177" formatCode="_-* #,##0.0_-;\-* #,##0.0_-;_-* &quot;-&quot;??_-;_-@_-"/>
    <numFmt numFmtId="178" formatCode="?"/>
    <numFmt numFmtId="179" formatCode="?.0"/>
    <numFmt numFmtId="180" formatCode="#,##0.0"/>
  </numFmts>
  <fonts count="81">
    <font>
      <sz val="11"/>
      <color theme="1"/>
      <name val="Calibri"/>
      <family val="2"/>
      <scheme val="minor"/>
    </font>
    <font>
      <sz val="11"/>
      <color theme="1"/>
      <name val="Calibri"/>
      <family val="2"/>
      <scheme val="minor"/>
    </font>
    <font>
      <b/>
      <sz val="11"/>
      <color theme="1"/>
      <name val="Calibri"/>
      <family val="2"/>
      <scheme val="minor"/>
    </font>
    <font>
      <sz val="10"/>
      <color theme="1"/>
      <name val="Times New Roman"/>
      <family val="1"/>
    </font>
    <font>
      <b/>
      <sz val="10"/>
      <color rgb="FFFF0000"/>
      <name val="Times New Roman"/>
      <family val="1"/>
    </font>
    <font>
      <b/>
      <sz val="10"/>
      <color theme="1"/>
      <name val="Times New Roman"/>
      <family val="1"/>
    </font>
    <font>
      <b/>
      <sz val="9"/>
      <color indexed="81"/>
      <name val="Tahoma"/>
      <family val="2"/>
    </font>
    <font>
      <sz val="9"/>
      <color indexed="81"/>
      <name val="Tahoma"/>
      <family val="2"/>
    </font>
    <font>
      <b/>
      <sz val="11"/>
      <name val="Arial Mon"/>
      <family val="2"/>
    </font>
    <font>
      <sz val="10"/>
      <name val="Arial Mon"/>
      <family val="2"/>
    </font>
    <font>
      <sz val="12"/>
      <name val="Arial Mon"/>
      <family val="2"/>
    </font>
    <font>
      <sz val="11"/>
      <name val="Arial Mon"/>
      <family val="2"/>
    </font>
    <font>
      <b/>
      <sz val="14"/>
      <name val="Arial Mon"/>
      <family val="2"/>
    </font>
    <font>
      <b/>
      <sz val="12"/>
      <name val="Arial Mon"/>
      <family val="2"/>
    </font>
    <font>
      <b/>
      <sz val="9"/>
      <name val="Times New Roman"/>
      <family val="1"/>
    </font>
    <font>
      <sz val="9"/>
      <name val="Times New Roman"/>
      <family val="1"/>
    </font>
    <font>
      <sz val="10"/>
      <name val="Arial"/>
      <family val="2"/>
    </font>
    <font>
      <b/>
      <sz val="14"/>
      <color theme="1"/>
      <name val="Times New Roman"/>
      <family val="1"/>
    </font>
    <font>
      <sz val="8"/>
      <color theme="1"/>
      <name val="Times New Roman"/>
      <family val="1"/>
    </font>
    <font>
      <b/>
      <sz val="11"/>
      <color theme="1"/>
      <name val="Times New Roman"/>
      <family val="1"/>
    </font>
    <font>
      <sz val="11"/>
      <color theme="1"/>
      <name val="Times New Roman"/>
      <family val="1"/>
    </font>
    <font>
      <b/>
      <sz val="12"/>
      <color theme="1"/>
      <name val="Times New Roman"/>
      <family val="1"/>
    </font>
    <font>
      <sz val="12"/>
      <color theme="1"/>
      <name val="Times New Roman"/>
      <family val="1"/>
    </font>
    <font>
      <b/>
      <sz val="11"/>
      <color rgb="FFFF0000"/>
      <name val="Times New Roman"/>
      <family val="1"/>
    </font>
    <font>
      <b/>
      <sz val="9"/>
      <name val="Tahoma"/>
      <family val="2"/>
    </font>
    <font>
      <sz val="9"/>
      <name val="Tahoma"/>
      <family val="2"/>
    </font>
    <font>
      <sz val="10"/>
      <name val="Times New Roman"/>
      <family val="1"/>
    </font>
    <font>
      <b/>
      <sz val="10"/>
      <name val="Times New Roman"/>
      <family val="1"/>
    </font>
    <font>
      <sz val="7"/>
      <color rgb="FF000000"/>
      <name val="Arial"/>
      <family val="2"/>
    </font>
    <font>
      <b/>
      <sz val="14"/>
      <color rgb="FF002060"/>
      <name val="Times New Roman"/>
      <family val="1"/>
    </font>
    <font>
      <b/>
      <sz val="12"/>
      <color rgb="FF002060"/>
      <name val="Times New Roman"/>
      <family val="1"/>
    </font>
    <font>
      <b/>
      <sz val="10"/>
      <color rgb="FF002060"/>
      <name val="Times New Roman"/>
      <family val="1"/>
    </font>
    <font>
      <b/>
      <sz val="11"/>
      <color rgb="FF002060"/>
      <name val="Times New Roman"/>
      <family val="1"/>
    </font>
    <font>
      <b/>
      <sz val="10"/>
      <color rgb="FFEE0000"/>
      <name val="Times New Roman"/>
      <family val="1"/>
    </font>
    <font>
      <sz val="10"/>
      <color rgb="FF333333"/>
      <name val="Times New Roman"/>
      <family val="1"/>
    </font>
    <font>
      <b/>
      <i/>
      <sz val="10"/>
      <color theme="1"/>
      <name val="Times New Roman"/>
      <family val="1"/>
    </font>
    <font>
      <b/>
      <i/>
      <sz val="10"/>
      <name val="Times New Roman"/>
      <family val="1"/>
    </font>
    <font>
      <b/>
      <i/>
      <sz val="12"/>
      <color theme="1"/>
      <name val="Times New Roman"/>
      <family val="1"/>
    </font>
    <font>
      <sz val="10"/>
      <color rgb="FFFF0000"/>
      <name val="Times New Roman"/>
      <family val="1"/>
    </font>
    <font>
      <sz val="11"/>
      <name val="Times New Roman"/>
      <family val="1"/>
    </font>
    <font>
      <b/>
      <i/>
      <u/>
      <sz val="10"/>
      <color theme="1"/>
      <name val="Times New Roman"/>
      <family val="1"/>
    </font>
    <font>
      <b/>
      <sz val="10"/>
      <name val="Arial"/>
      <family val="2"/>
    </font>
    <font>
      <sz val="7"/>
      <color rgb="FF28A745"/>
      <name val="Arial"/>
      <family val="2"/>
    </font>
    <font>
      <b/>
      <sz val="10"/>
      <color indexed="8"/>
      <name val="Times New Roman"/>
      <family val="1"/>
    </font>
    <font>
      <sz val="10"/>
      <color indexed="8"/>
      <name val="Times New Roman"/>
      <family val="1"/>
    </font>
    <font>
      <sz val="10"/>
      <color rgb="FF000000"/>
      <name val="Times New Roman"/>
      <family val="1"/>
    </font>
    <font>
      <sz val="8"/>
      <name val="Calibri"/>
      <family val="2"/>
      <scheme val="minor"/>
    </font>
    <font>
      <sz val="11"/>
      <name val="Arial"/>
      <family val="2"/>
    </font>
    <font>
      <b/>
      <sz val="11"/>
      <name val="Arial"/>
      <family val="2"/>
    </font>
    <font>
      <vertAlign val="superscript"/>
      <sz val="11"/>
      <name val="Arial"/>
      <family val="2"/>
    </font>
    <font>
      <sz val="11"/>
      <color theme="1"/>
      <name val="Arial"/>
      <family val="2"/>
    </font>
    <font>
      <b/>
      <sz val="11"/>
      <color indexed="8"/>
      <name val="Arial"/>
      <family val="2"/>
    </font>
    <font>
      <sz val="11"/>
      <color indexed="8"/>
      <name val="Arial"/>
      <family val="2"/>
    </font>
    <font>
      <b/>
      <sz val="12"/>
      <name val="Times New Roman"/>
      <family val="1"/>
    </font>
    <font>
      <b/>
      <sz val="11"/>
      <name val="Times New Roman"/>
      <family val="1"/>
    </font>
    <font>
      <b/>
      <u/>
      <sz val="11"/>
      <name val="Times New Roman"/>
      <family val="1"/>
    </font>
    <font>
      <sz val="11"/>
      <color rgb="FFFF0000"/>
      <name val="Times New Roman"/>
      <family val="1"/>
    </font>
    <font>
      <b/>
      <sz val="11"/>
      <color indexed="8"/>
      <name val="Times New Roman"/>
      <family val="1"/>
    </font>
    <font>
      <sz val="11"/>
      <color indexed="8"/>
      <name val="Times New Roman"/>
      <family val="1"/>
    </font>
    <font>
      <sz val="12"/>
      <name val="Times New Roman"/>
      <family val="1"/>
    </font>
    <font>
      <b/>
      <u/>
      <sz val="12"/>
      <name val="Times New Roman"/>
      <family val="1"/>
    </font>
    <font>
      <sz val="12"/>
      <color indexed="8"/>
      <name val="Times New Roman"/>
      <family val="1"/>
    </font>
    <font>
      <u/>
      <sz val="11"/>
      <name val="Times New Roman"/>
      <family val="1"/>
    </font>
    <font>
      <b/>
      <i/>
      <sz val="11"/>
      <name val="Times New Roman"/>
      <family val="1"/>
    </font>
    <font>
      <sz val="11"/>
      <color rgb="FF333333"/>
      <name val="Times New Roman"/>
      <family val="1"/>
    </font>
    <font>
      <b/>
      <sz val="10"/>
      <color theme="0"/>
      <name val="Times New Roman"/>
      <family val="1"/>
    </font>
    <font>
      <sz val="10"/>
      <color theme="0"/>
      <name val="Times New Roman"/>
      <family val="1"/>
    </font>
    <font>
      <sz val="10"/>
      <name val="Arial"/>
      <family val="2"/>
    </font>
    <font>
      <sz val="12"/>
      <name val="Arial"/>
      <family val="2"/>
    </font>
    <font>
      <sz val="10"/>
      <name val="Arial"/>
      <family val="2"/>
      <charset val="204"/>
    </font>
    <font>
      <b/>
      <sz val="20"/>
      <name val="Arial Mon"/>
      <family val="2"/>
    </font>
    <font>
      <b/>
      <sz val="48"/>
      <color indexed="9"/>
      <name val="Arial Mon"/>
      <family val="2"/>
    </font>
    <font>
      <b/>
      <sz val="48"/>
      <color theme="0"/>
      <name val="Arial"/>
      <family val="2"/>
    </font>
    <font>
      <b/>
      <sz val="18"/>
      <name val="Arial Mon"/>
      <family val="2"/>
    </font>
    <font>
      <sz val="18"/>
      <name val="Arial Mon"/>
      <family val="2"/>
    </font>
    <font>
      <b/>
      <i/>
      <sz val="14"/>
      <name val="Arial Mon"/>
      <family val="2"/>
    </font>
    <font>
      <i/>
      <sz val="11"/>
      <name val="Arial Mon"/>
      <family val="2"/>
    </font>
    <font>
      <u/>
      <sz val="11"/>
      <color theme="10"/>
      <name val="Calibri"/>
      <family val="2"/>
      <scheme val="minor"/>
    </font>
    <font>
      <sz val="12"/>
      <color theme="1"/>
      <name val="Arial"/>
      <family val="2"/>
    </font>
    <font>
      <sz val="11"/>
      <color indexed="8"/>
      <name val="Calibri"/>
      <family val="2"/>
      <scheme val="minor"/>
    </font>
    <font>
      <b/>
      <sz val="9"/>
      <color rgb="FF333333"/>
      <name val="Times New Roman"/>
      <family val="1"/>
    </font>
  </fonts>
  <fills count="27">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79995117038483843"/>
        <bgColor indexed="64"/>
      </patternFill>
    </fill>
    <fill>
      <patternFill patternType="solid">
        <fgColor rgb="FFFFC000"/>
        <bgColor indexed="64"/>
      </patternFill>
    </fill>
    <fill>
      <patternFill patternType="solid">
        <fgColor theme="7" tint="0.79995117038483843"/>
        <bgColor indexed="64"/>
      </patternFill>
    </fill>
    <fill>
      <patternFill patternType="solid">
        <fgColor rgb="FF99FF99"/>
        <bgColor indexed="64"/>
      </patternFill>
    </fill>
    <fill>
      <patternFill patternType="solid">
        <fgColor rgb="FF99FF99"/>
        <bgColor rgb="FFD8D8D8"/>
      </patternFill>
    </fill>
    <fill>
      <patternFill patternType="solid">
        <fgColor theme="5" tint="0.79995117038483843"/>
        <bgColor indexed="64"/>
      </patternFill>
    </fill>
    <fill>
      <patternFill patternType="solid">
        <fgColor rgb="FFFFFFFF"/>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indexed="9"/>
      </patternFill>
    </fill>
    <fill>
      <patternFill patternType="solid">
        <fgColor indexed="9"/>
        <bgColor indexed="64"/>
      </patternFill>
    </fill>
    <fill>
      <patternFill patternType="solid">
        <fgColor rgb="FFFFFFFF"/>
        <bgColor rgb="FFFFFFFF"/>
      </patternFill>
    </fill>
    <fill>
      <patternFill patternType="solid">
        <fgColor theme="4" tint="0.79998168889431442"/>
        <bgColor rgb="FFFFFFFF"/>
      </patternFill>
    </fill>
  </fills>
  <borders count="5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diagonal/>
    </border>
    <border>
      <left style="medium">
        <color rgb="FF000000"/>
      </left>
      <right style="medium">
        <color rgb="FF000000"/>
      </right>
      <top/>
      <bottom/>
      <diagonal/>
    </border>
    <border>
      <left style="thin">
        <color auto="1"/>
      </left>
      <right style="medium">
        <color auto="1"/>
      </right>
      <top style="medium">
        <color auto="1"/>
      </top>
      <bottom/>
      <diagonal/>
    </border>
    <border>
      <left/>
      <right style="thin">
        <color auto="1"/>
      </right>
      <top style="medium">
        <color auto="1"/>
      </top>
      <bottom style="thin">
        <color auto="1"/>
      </bottom>
      <diagonal/>
    </border>
    <border>
      <left style="thin">
        <color auto="1"/>
      </left>
      <right/>
      <top style="medium">
        <color auto="1"/>
      </top>
      <bottom/>
      <diagonal/>
    </border>
    <border>
      <left/>
      <right style="thin">
        <color indexed="64"/>
      </right>
      <top style="medium">
        <color auto="1"/>
      </top>
      <bottom/>
      <diagonal/>
    </border>
    <border>
      <left/>
      <right style="thin">
        <color indexed="64"/>
      </right>
      <top/>
      <bottom style="thin">
        <color indexed="64"/>
      </bottom>
      <diagonal/>
    </border>
    <border>
      <left style="medium">
        <color auto="1"/>
      </left>
      <right style="thin">
        <color auto="1"/>
      </right>
      <top style="medium">
        <color auto="1"/>
      </top>
      <bottom/>
      <diagonal/>
    </border>
    <border>
      <left/>
      <right/>
      <top style="thin">
        <color auto="1"/>
      </top>
      <bottom style="double">
        <color auto="1"/>
      </bottom>
      <diagonal/>
    </border>
    <border>
      <left style="medium">
        <color auto="1"/>
      </left>
      <right style="thin">
        <color auto="1"/>
      </right>
      <top/>
      <bottom/>
      <diagonal/>
    </border>
    <border>
      <left style="thin">
        <color auto="1"/>
      </left>
      <right/>
      <top/>
      <bottom/>
      <diagonal/>
    </border>
    <border>
      <left/>
      <right style="thin">
        <color indexed="64"/>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right/>
      <top/>
      <bottom style="thin">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style="hair">
        <color indexed="64"/>
      </top>
      <bottom style="double">
        <color indexed="64"/>
      </bottom>
      <diagonal/>
    </border>
    <border>
      <left/>
      <right style="hair">
        <color indexed="64"/>
      </right>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s>
  <cellStyleXfs count="70">
    <xf numFmtId="0" fontId="0" fillId="0" borderId="0"/>
    <xf numFmtId="165" fontId="1" fillId="0" borderId="0" applyFont="0" applyFill="0" applyBorder="0" applyAlignment="0" applyProtection="0"/>
    <xf numFmtId="0" fontId="16" fillId="0" borderId="0"/>
    <xf numFmtId="0" fontId="1" fillId="0" borderId="0"/>
    <xf numFmtId="165" fontId="1"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0" fontId="16" fillId="0" borderId="0"/>
    <xf numFmtId="0" fontId="16" fillId="0" borderId="0"/>
    <xf numFmtId="0" fontId="16" fillId="0" borderId="0" applyNumberFormat="0" applyFill="0" applyBorder="0" applyAlignment="0" applyProtection="0"/>
    <xf numFmtId="0" fontId="16" fillId="0" borderId="0"/>
    <xf numFmtId="43" fontId="16" fillId="0" borderId="0" applyFont="0" applyFill="0" applyBorder="0" applyAlignment="0" applyProtection="0"/>
    <xf numFmtId="0" fontId="67" fillId="0" borderId="0"/>
    <xf numFmtId="165" fontId="16" fillId="0" borderId="0" applyFont="0" applyFill="0" applyBorder="0" applyAlignment="0" applyProtection="0"/>
    <xf numFmtId="165" fontId="16" fillId="0" borderId="0" applyFont="0" applyFill="0" applyBorder="0" applyAlignment="0" applyProtection="0"/>
    <xf numFmtId="0" fontId="16" fillId="0" borderId="0"/>
    <xf numFmtId="165" fontId="16" fillId="0" borderId="0" applyFont="0" applyFill="0" applyBorder="0" applyAlignment="0" applyProtection="0"/>
    <xf numFmtId="165" fontId="16"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165" fontId="16" fillId="0" borderId="0" applyFont="0" applyFill="0" applyBorder="0" applyAlignment="0" applyProtection="0"/>
    <xf numFmtId="0" fontId="1" fillId="0" borderId="0"/>
    <xf numFmtId="165" fontId="16" fillId="0" borderId="0" applyFont="0" applyFill="0" applyBorder="0" applyAlignment="0" applyProtection="0"/>
    <xf numFmtId="0" fontId="16" fillId="0" borderId="0"/>
    <xf numFmtId="0" fontId="16" fillId="0" borderId="0">
      <alignment wrapText="1"/>
    </xf>
    <xf numFmtId="0" fontId="77" fillId="0" borderId="0" applyNumberFormat="0" applyFill="0" applyBorder="0" applyAlignment="0" applyProtection="0"/>
    <xf numFmtId="165" fontId="16" fillId="0" borderId="0" applyFont="0" applyFill="0" applyBorder="0" applyAlignment="0" applyProtection="0"/>
    <xf numFmtId="164" fontId="16"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79" fillId="0" borderId="0"/>
    <xf numFmtId="0" fontId="79"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79"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cellStyleXfs>
  <cellXfs count="789">
    <xf numFmtId="0" fontId="0" fillId="0" borderId="0" xfId="0"/>
    <xf numFmtId="0" fontId="3" fillId="0" borderId="0" xfId="0" applyFont="1"/>
    <xf numFmtId="0" fontId="3" fillId="0" borderId="1" xfId="0" applyFont="1" applyBorder="1"/>
    <xf numFmtId="165" fontId="3" fillId="0" borderId="0" xfId="0" applyNumberFormat="1" applyFont="1"/>
    <xf numFmtId="165" fontId="3" fillId="0" borderId="0" xfId="1" applyFont="1"/>
    <xf numFmtId="0" fontId="8" fillId="0" borderId="0" xfId="0" applyFont="1"/>
    <xf numFmtId="0" fontId="8" fillId="0" borderId="0" xfId="0" applyFont="1" applyAlignment="1">
      <alignment horizontal="center"/>
    </xf>
    <xf numFmtId="0" fontId="13" fillId="0" borderId="0" xfId="0" applyFont="1" applyAlignment="1">
      <alignment horizontal="center" vertical="center" wrapText="1"/>
    </xf>
    <xf numFmtId="0" fontId="13" fillId="0" borderId="0" xfId="0" applyFont="1"/>
    <xf numFmtId="0" fontId="3" fillId="0" borderId="0" xfId="0" applyFont="1" applyAlignment="1">
      <alignment horizontal="center"/>
    </xf>
    <xf numFmtId="0" fontId="3" fillId="0" borderId="1" xfId="0" applyFont="1" applyBorder="1" applyAlignment="1">
      <alignment horizontal="center"/>
    </xf>
    <xf numFmtId="0" fontId="14" fillId="5" borderId="1" xfId="0" applyFont="1" applyFill="1" applyBorder="1" applyAlignment="1">
      <alignment horizontal="center" vertical="center" wrapText="1"/>
    </xf>
    <xf numFmtId="0" fontId="15" fillId="0" borderId="1" xfId="0" applyFont="1" applyBorder="1"/>
    <xf numFmtId="0" fontId="15" fillId="0" borderId="0" xfId="0" applyFont="1"/>
    <xf numFmtId="0" fontId="15" fillId="0" borderId="0" xfId="0" applyFont="1" applyAlignment="1">
      <alignment horizontal="center" vertical="center" wrapText="1"/>
    </xf>
    <xf numFmtId="165" fontId="19" fillId="0" borderId="1" xfId="1" applyFont="1" applyBorder="1" applyAlignment="1">
      <alignment horizontal="center" vertical="center" wrapText="1"/>
    </xf>
    <xf numFmtId="165" fontId="20" fillId="0" borderId="0" xfId="1" applyFont="1"/>
    <xf numFmtId="166" fontId="20" fillId="0" borderId="1" xfId="1" applyNumberFormat="1" applyFont="1" applyBorder="1"/>
    <xf numFmtId="165" fontId="20" fillId="0" borderId="1" xfId="1" applyFont="1" applyBorder="1"/>
    <xf numFmtId="166" fontId="3" fillId="0" borderId="0" xfId="1" applyNumberFormat="1" applyFont="1"/>
    <xf numFmtId="166" fontId="3" fillId="0" borderId="1" xfId="1" applyNumberFormat="1" applyFont="1" applyBorder="1"/>
    <xf numFmtId="166" fontId="3" fillId="0" borderId="0" xfId="0" applyNumberFormat="1" applyFont="1"/>
    <xf numFmtId="0" fontId="3" fillId="3" borderId="0" xfId="0" applyFont="1" applyFill="1"/>
    <xf numFmtId="0" fontId="15" fillId="9" borderId="0" xfId="0" applyFont="1" applyFill="1"/>
    <xf numFmtId="0" fontId="14" fillId="0" borderId="1" xfId="0" applyFont="1" applyBorder="1" applyAlignment="1">
      <alignment horizontal="center" vertical="center" wrapText="1"/>
    </xf>
    <xf numFmtId="0" fontId="14" fillId="7"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8" borderId="0" xfId="0" applyFont="1" applyFill="1" applyAlignment="1">
      <alignment horizontal="center" vertical="center" wrapText="1"/>
    </xf>
    <xf numFmtId="0" fontId="14" fillId="8" borderId="1" xfId="0" applyFont="1" applyFill="1" applyBorder="1" applyAlignment="1">
      <alignment vertical="center" wrapText="1"/>
    </xf>
    <xf numFmtId="0" fontId="14" fillId="7" borderId="1" xfId="0" applyFont="1" applyFill="1" applyBorder="1" applyAlignment="1">
      <alignment vertical="center" wrapText="1"/>
    </xf>
    <xf numFmtId="165" fontId="14" fillId="5" borderId="1" xfId="1" applyFont="1" applyFill="1" applyBorder="1" applyAlignment="1" applyProtection="1">
      <alignment horizontal="center" vertical="center" wrapText="1"/>
      <protection locked="0"/>
    </xf>
    <xf numFmtId="165" fontId="15" fillId="0" borderId="1" xfId="1" applyFont="1" applyBorder="1" applyProtection="1">
      <protection locked="0"/>
    </xf>
    <xf numFmtId="165" fontId="15" fillId="7" borderId="1" xfId="1" applyFont="1" applyFill="1" applyBorder="1" applyProtection="1">
      <protection locked="0"/>
    </xf>
    <xf numFmtId="165" fontId="15" fillId="5" borderId="1" xfId="1" applyFont="1" applyFill="1" applyBorder="1" applyProtection="1">
      <protection locked="0"/>
    </xf>
    <xf numFmtId="165" fontId="15" fillId="0" borderId="1" xfId="0" applyNumberFormat="1" applyFont="1" applyBorder="1"/>
    <xf numFmtId="165" fontId="15" fillId="0" borderId="1" xfId="1" applyFont="1" applyBorder="1"/>
    <xf numFmtId="165" fontId="15" fillId="0" borderId="0" xfId="0" applyNumberFormat="1" applyFont="1"/>
    <xf numFmtId="2" fontId="15" fillId="0" borderId="1" xfId="0" applyNumberFormat="1" applyFont="1" applyBorder="1"/>
    <xf numFmtId="166" fontId="14" fillId="0" borderId="1" xfId="1" applyNumberFormat="1" applyFont="1" applyBorder="1" applyProtection="1">
      <protection locked="0"/>
    </xf>
    <xf numFmtId="165" fontId="14" fillId="0" borderId="1" xfId="1" applyFont="1" applyBorder="1" applyProtection="1">
      <protection locked="0"/>
    </xf>
    <xf numFmtId="165" fontId="14" fillId="7" borderId="1" xfId="1" applyFont="1" applyFill="1" applyBorder="1" applyProtection="1">
      <protection locked="0"/>
    </xf>
    <xf numFmtId="165" fontId="14" fillId="5" borderId="1" xfId="1" applyFont="1" applyFill="1" applyBorder="1" applyProtection="1">
      <protection locked="0"/>
    </xf>
    <xf numFmtId="165" fontId="14" fillId="0" borderId="1" xfId="0" applyNumberFormat="1" applyFont="1" applyBorder="1"/>
    <xf numFmtId="165" fontId="15" fillId="0" borderId="0" xfId="1" applyFont="1" applyProtection="1">
      <protection locked="0"/>
    </xf>
    <xf numFmtId="165" fontId="15" fillId="0" borderId="0" xfId="1" applyFont="1"/>
    <xf numFmtId="165" fontId="14" fillId="0" borderId="1" xfId="1" applyFont="1" applyBorder="1" applyAlignment="1" applyProtection="1">
      <alignment horizontal="center" vertical="center" wrapText="1"/>
    </xf>
    <xf numFmtId="0" fontId="15" fillId="0" borderId="0" xfId="0" applyFont="1" applyAlignment="1">
      <alignment wrapText="1"/>
    </xf>
    <xf numFmtId="165" fontId="15" fillId="0" borderId="1" xfId="1" applyFont="1" applyBorder="1" applyAlignment="1" applyProtection="1"/>
    <xf numFmtId="165" fontId="15" fillId="0" borderId="1" xfId="1" applyFont="1" applyBorder="1" applyAlignment="1" applyProtection="1">
      <alignment horizontal="center" vertical="center"/>
    </xf>
    <xf numFmtId="166" fontId="15" fillId="0" borderId="1" xfId="1" applyNumberFormat="1" applyFont="1" applyBorder="1" applyAlignment="1" applyProtection="1">
      <alignment horizontal="center" vertical="center"/>
    </xf>
    <xf numFmtId="0" fontId="15" fillId="3" borderId="0" xfId="0" applyFont="1" applyFill="1"/>
    <xf numFmtId="166" fontId="5" fillId="0" borderId="1" xfId="1" applyNumberFormat="1" applyFont="1" applyBorder="1"/>
    <xf numFmtId="166" fontId="20" fillId="0" borderId="0" xfId="1" applyNumberFormat="1" applyFont="1"/>
    <xf numFmtId="0" fontId="3" fillId="0" borderId="0" xfId="0" applyFont="1" applyAlignment="1">
      <alignment horizontal="center" vertical="center" wrapText="1"/>
    </xf>
    <xf numFmtId="166" fontId="3" fillId="0" borderId="1" xfId="1" applyNumberFormat="1" applyFont="1" applyBorder="1" applyAlignment="1">
      <alignment horizontal="center" vertical="center"/>
    </xf>
    <xf numFmtId="0" fontId="20" fillId="0" borderId="0" xfId="0" applyFont="1"/>
    <xf numFmtId="0" fontId="20" fillId="0" borderId="0" xfId="0" applyFont="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xf>
    <xf numFmtId="0" fontId="20" fillId="0" borderId="1" xfId="0" applyFont="1" applyBorder="1"/>
    <xf numFmtId="167" fontId="20" fillId="0" borderId="1" xfId="1" applyNumberFormat="1" applyFont="1" applyBorder="1"/>
    <xf numFmtId="166" fontId="19" fillId="0" borderId="1" xfId="1" applyNumberFormat="1" applyFont="1" applyBorder="1"/>
    <xf numFmtId="166" fontId="19" fillId="11" borderId="1" xfId="1" applyNumberFormat="1" applyFont="1" applyFill="1" applyBorder="1"/>
    <xf numFmtId="166" fontId="19" fillId="0" borderId="1" xfId="0" applyNumberFormat="1" applyFont="1" applyBorder="1"/>
    <xf numFmtId="165" fontId="19" fillId="0" borderId="1" xfId="1" applyFont="1" applyBorder="1"/>
    <xf numFmtId="166" fontId="20" fillId="0" borderId="0" xfId="0" applyNumberFormat="1" applyFont="1"/>
    <xf numFmtId="2" fontId="3" fillId="0" borderId="0" xfId="0" applyNumberFormat="1" applyFont="1"/>
    <xf numFmtId="166" fontId="3" fillId="0" borderId="0" xfId="1" applyNumberFormat="1" applyFont="1" applyAlignment="1">
      <alignment horizontal="center"/>
    </xf>
    <xf numFmtId="168" fontId="3" fillId="0" borderId="0" xfId="1" applyNumberFormat="1" applyFont="1"/>
    <xf numFmtId="0" fontId="3" fillId="0" borderId="0" xfId="0" applyFont="1" applyAlignment="1">
      <alignment vertical="center"/>
    </xf>
    <xf numFmtId="0" fontId="5" fillId="12" borderId="0" xfId="0" applyFont="1" applyFill="1" applyAlignment="1">
      <alignment vertical="center"/>
    </xf>
    <xf numFmtId="166" fontId="5" fillId="12" borderId="0" xfId="1" applyNumberFormat="1" applyFont="1" applyFill="1" applyAlignment="1">
      <alignment vertical="center"/>
    </xf>
    <xf numFmtId="0" fontId="3" fillId="0" borderId="0" xfId="0" applyFont="1" applyAlignment="1">
      <alignment horizontal="center" vertical="center"/>
    </xf>
    <xf numFmtId="1" fontId="3" fillId="0" borderId="0" xfId="0" applyNumberFormat="1" applyFont="1" applyAlignment="1">
      <alignment horizontal="center" vertical="center"/>
    </xf>
    <xf numFmtId="169" fontId="5" fillId="13" borderId="0" xfId="0" applyNumberFormat="1" applyFont="1" applyFill="1"/>
    <xf numFmtId="166" fontId="3" fillId="0" borderId="0" xfId="1" applyNumberFormat="1" applyFont="1" applyBorder="1" applyAlignment="1">
      <alignment horizontal="center" vertical="center"/>
    </xf>
    <xf numFmtId="166" fontId="3" fillId="0" borderId="0" xfId="1" applyNumberFormat="1" applyFont="1" applyBorder="1" applyAlignment="1">
      <alignment vertical="center"/>
    </xf>
    <xf numFmtId="14" fontId="26" fillId="13" borderId="0" xfId="1" applyNumberFormat="1" applyFont="1" applyFill="1" applyBorder="1" applyAlignment="1">
      <alignment horizontal="center" vertical="center"/>
    </xf>
    <xf numFmtId="166" fontId="3" fillId="0" borderId="14" xfId="1" applyNumberFormat="1" applyFont="1" applyFill="1" applyBorder="1" applyAlignment="1">
      <alignment horizontal="center" vertical="center"/>
    </xf>
    <xf numFmtId="166" fontId="3" fillId="0" borderId="0" xfId="1" applyNumberFormat="1" applyFont="1" applyAlignment="1">
      <alignment horizontal="center" vertical="center"/>
    </xf>
    <xf numFmtId="165" fontId="3" fillId="3" borderId="0" xfId="1" applyFont="1" applyFill="1"/>
    <xf numFmtId="165" fontId="3" fillId="3" borderId="0" xfId="0" applyNumberFormat="1" applyFont="1" applyFill="1"/>
    <xf numFmtId="165" fontId="5" fillId="0" borderId="0" xfId="1" applyFont="1" applyAlignment="1">
      <alignment vertical="center"/>
    </xf>
    <xf numFmtId="166" fontId="5" fillId="0" borderId="0" xfId="1" applyNumberFormat="1" applyFont="1"/>
    <xf numFmtId="165" fontId="15" fillId="15" borderId="1" xfId="1" applyFont="1" applyFill="1" applyBorder="1" applyProtection="1">
      <protection locked="0"/>
    </xf>
    <xf numFmtId="165" fontId="14" fillId="15" borderId="1" xfId="1" applyFont="1" applyFill="1" applyBorder="1" applyProtection="1">
      <protection locked="0"/>
    </xf>
    <xf numFmtId="0" fontId="14" fillId="15" borderId="1" xfId="0" applyFont="1" applyFill="1" applyBorder="1" applyAlignment="1">
      <alignment horizontal="center" vertical="center" wrapText="1"/>
    </xf>
    <xf numFmtId="166" fontId="5" fillId="16" borderId="16" xfId="1" applyNumberFormat="1" applyFont="1" applyFill="1" applyBorder="1"/>
    <xf numFmtId="3" fontId="28" fillId="0" borderId="0" xfId="0" applyNumberFormat="1" applyFont="1"/>
    <xf numFmtId="0" fontId="20" fillId="3" borderId="0" xfId="3" applyFont="1" applyFill="1"/>
    <xf numFmtId="0" fontId="21" fillId="3" borderId="0" xfId="3" applyFont="1" applyFill="1"/>
    <xf numFmtId="0" fontId="29" fillId="3" borderId="0" xfId="3" applyFont="1" applyFill="1"/>
    <xf numFmtId="0" fontId="22" fillId="3" borderId="0" xfId="3" applyFont="1" applyFill="1"/>
    <xf numFmtId="0" fontId="30" fillId="3" borderId="23" xfId="3" applyFont="1" applyFill="1" applyBorder="1" applyAlignment="1">
      <alignment horizontal="center"/>
    </xf>
    <xf numFmtId="0" fontId="31" fillId="3" borderId="0" xfId="3" applyFont="1" applyFill="1" applyAlignment="1">
      <alignment horizontal="center"/>
    </xf>
    <xf numFmtId="172" fontId="32" fillId="3" borderId="0" xfId="3" applyNumberFormat="1" applyFont="1" applyFill="1" applyAlignment="1">
      <alignment horizontal="right"/>
    </xf>
    <xf numFmtId="165" fontId="22" fillId="3" borderId="0" xfId="3" applyNumberFormat="1" applyFont="1" applyFill="1"/>
    <xf numFmtId="0" fontId="19" fillId="3" borderId="0" xfId="3" applyFont="1" applyFill="1" applyAlignment="1">
      <alignment horizontal="center" vertical="center" wrapText="1"/>
    </xf>
    <xf numFmtId="0" fontId="19" fillId="17" borderId="2" xfId="3" applyFont="1" applyFill="1" applyBorder="1" applyAlignment="1">
      <alignment horizontal="center" vertical="center" wrapText="1"/>
    </xf>
    <xf numFmtId="0" fontId="20" fillId="3" borderId="2" xfId="3" applyFont="1" applyFill="1" applyBorder="1"/>
    <xf numFmtId="14" fontId="20" fillId="3" borderId="2" xfId="3" applyNumberFormat="1" applyFont="1" applyFill="1" applyBorder="1" applyAlignment="1">
      <alignment horizontal="center"/>
    </xf>
    <xf numFmtId="0" fontId="18" fillId="3" borderId="2" xfId="3" applyFont="1" applyFill="1" applyBorder="1" applyAlignment="1">
      <alignment horizontal="center" vertical="center"/>
    </xf>
    <xf numFmtId="0" fontId="20" fillId="3" borderId="2" xfId="3" applyFont="1" applyFill="1" applyBorder="1" applyAlignment="1">
      <alignment horizontal="left"/>
    </xf>
    <xf numFmtId="0" fontId="20" fillId="3" borderId="2" xfId="3" applyFont="1" applyFill="1" applyBorder="1" applyAlignment="1">
      <alignment horizontal="right"/>
    </xf>
    <xf numFmtId="165" fontId="20" fillId="3" borderId="2" xfId="3" applyNumberFormat="1" applyFont="1" applyFill="1" applyBorder="1"/>
    <xf numFmtId="166" fontId="20" fillId="3" borderId="2" xfId="4" applyNumberFormat="1" applyFont="1" applyFill="1" applyBorder="1"/>
    <xf numFmtId="165" fontId="20" fillId="3" borderId="2" xfId="4" applyFont="1" applyFill="1" applyBorder="1"/>
    <xf numFmtId="165" fontId="20" fillId="3" borderId="2" xfId="4" applyFont="1" applyFill="1" applyBorder="1" applyAlignment="1">
      <alignment horizontal="center"/>
    </xf>
    <xf numFmtId="9" fontId="5" fillId="3" borderId="2" xfId="3" applyNumberFormat="1" applyFont="1" applyFill="1" applyBorder="1" applyAlignment="1">
      <alignment horizontal="center" vertical="center"/>
    </xf>
    <xf numFmtId="165" fontId="5" fillId="3" borderId="0" xfId="3" applyNumberFormat="1" applyFont="1" applyFill="1" applyAlignment="1">
      <alignment horizontal="center" vertical="center"/>
    </xf>
    <xf numFmtId="172" fontId="20" fillId="3" borderId="2" xfId="3" applyNumberFormat="1" applyFont="1" applyFill="1" applyBorder="1" applyAlignment="1">
      <alignment horizontal="center"/>
    </xf>
    <xf numFmtId="0" fontId="20" fillId="3" borderId="2" xfId="3" applyFont="1" applyFill="1" applyBorder="1" applyAlignment="1">
      <alignment horizontal="center"/>
    </xf>
    <xf numFmtId="9" fontId="5" fillId="3" borderId="0" xfId="3" applyNumberFormat="1" applyFont="1" applyFill="1" applyAlignment="1">
      <alignment horizontal="center" vertical="center"/>
    </xf>
    <xf numFmtId="0" fontId="20" fillId="3" borderId="3" xfId="3" applyFont="1" applyFill="1" applyBorder="1"/>
    <xf numFmtId="165" fontId="20" fillId="10" borderId="2" xfId="4" applyFont="1" applyFill="1" applyBorder="1"/>
    <xf numFmtId="9" fontId="5" fillId="3" borderId="13" xfId="3" applyNumberFormat="1" applyFont="1" applyFill="1" applyBorder="1" applyAlignment="1">
      <alignment horizontal="center" vertical="center"/>
    </xf>
    <xf numFmtId="165" fontId="23" fillId="3" borderId="13" xfId="3" applyNumberFormat="1" applyFont="1" applyFill="1" applyBorder="1"/>
    <xf numFmtId="165" fontId="23" fillId="3" borderId="0" xfId="3" applyNumberFormat="1" applyFont="1" applyFill="1"/>
    <xf numFmtId="165" fontId="20" fillId="3" borderId="0" xfId="3" applyNumberFormat="1" applyFont="1" applyFill="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65" fontId="3" fillId="0" borderId="1" xfId="1" applyFont="1" applyBorder="1" applyAlignment="1">
      <alignment horizontal="center" vertical="center"/>
    </xf>
    <xf numFmtId="168" fontId="27" fillId="0" borderId="1" xfId="1" applyNumberFormat="1" applyFont="1" applyBorder="1" applyAlignment="1">
      <alignment horizontal="center" vertical="center" wrapText="1"/>
    </xf>
    <xf numFmtId="165" fontId="27" fillId="0" borderId="1" xfId="1" applyFont="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166" fontId="3" fillId="3" borderId="1" xfId="1" applyNumberFormat="1" applyFont="1" applyFill="1" applyBorder="1" applyAlignment="1">
      <alignment horizontal="center" vertical="center"/>
    </xf>
    <xf numFmtId="166" fontId="3" fillId="0" borderId="1" xfId="1" applyNumberFormat="1" applyFont="1" applyFill="1" applyBorder="1" applyAlignment="1">
      <alignment vertical="center"/>
    </xf>
    <xf numFmtId="166" fontId="3" fillId="0" borderId="1" xfId="1" applyNumberFormat="1" applyFont="1" applyFill="1" applyBorder="1" applyAlignment="1">
      <alignment horizontal="center" vertical="center"/>
    </xf>
    <xf numFmtId="166" fontId="27" fillId="12" borderId="1" xfId="1" applyNumberFormat="1" applyFont="1" applyFill="1" applyBorder="1" applyAlignment="1">
      <alignment horizontal="center" vertical="center"/>
    </xf>
    <xf numFmtId="166" fontId="27" fillId="12" borderId="1" xfId="1" applyNumberFormat="1" applyFont="1" applyFill="1" applyBorder="1" applyAlignment="1">
      <alignment vertical="center"/>
    </xf>
    <xf numFmtId="166" fontId="4" fillId="12" borderId="1" xfId="1" applyNumberFormat="1" applyFont="1" applyFill="1" applyBorder="1" applyAlignment="1">
      <alignment vertical="center"/>
    </xf>
    <xf numFmtId="165" fontId="27" fillId="12" borderId="1" xfId="1" applyFont="1" applyFill="1" applyBorder="1" applyAlignment="1">
      <alignment horizontal="center" vertical="center"/>
    </xf>
    <xf numFmtId="166" fontId="4" fillId="12" borderId="1" xfId="1" applyNumberFormat="1" applyFont="1" applyFill="1" applyBorder="1" applyAlignment="1">
      <alignment horizontal="center" vertical="center"/>
    </xf>
    <xf numFmtId="166" fontId="3" fillId="0" borderId="15" xfId="1" applyNumberFormat="1" applyFont="1" applyBorder="1" applyAlignment="1">
      <alignment horizontal="center" vertical="center"/>
    </xf>
    <xf numFmtId="166" fontId="27" fillId="0" borderId="29" xfId="1" applyNumberFormat="1" applyFont="1" applyBorder="1" applyAlignment="1">
      <alignment horizontal="center" vertical="center" wrapText="1"/>
    </xf>
    <xf numFmtId="0" fontId="3" fillId="0" borderId="1" xfId="0" applyFont="1" applyBorder="1" applyAlignment="1">
      <alignment vertical="center"/>
    </xf>
    <xf numFmtId="0" fontId="5" fillId="12" borderId="1" xfId="0" applyFont="1" applyFill="1" applyBorder="1" applyAlignment="1">
      <alignment vertical="center"/>
    </xf>
    <xf numFmtId="166" fontId="5" fillId="12" borderId="1" xfId="1" applyNumberFormat="1" applyFont="1" applyFill="1" applyBorder="1" applyAlignment="1">
      <alignment vertical="center"/>
    </xf>
    <xf numFmtId="169" fontId="5" fillId="13" borderId="1" xfId="0" applyNumberFormat="1" applyFont="1" applyFill="1" applyBorder="1"/>
    <xf numFmtId="14" fontId="26" fillId="13" borderId="1" xfId="1" applyNumberFormat="1" applyFont="1" applyFill="1" applyBorder="1" applyAlignment="1">
      <alignment horizontal="center" vertical="center"/>
    </xf>
    <xf numFmtId="170" fontId="3" fillId="0" borderId="1" xfId="1" applyNumberFormat="1" applyFont="1" applyFill="1" applyBorder="1" applyAlignment="1">
      <alignment vertical="center"/>
    </xf>
    <xf numFmtId="0" fontId="19" fillId="0" borderId="31" xfId="0" applyFont="1" applyBorder="1" applyAlignment="1">
      <alignment horizontal="center" vertical="center" wrapText="1"/>
    </xf>
    <xf numFmtId="165" fontId="19" fillId="0" borderId="31" xfId="1" applyFont="1" applyBorder="1" applyAlignment="1">
      <alignment horizontal="center" vertical="center" wrapText="1"/>
    </xf>
    <xf numFmtId="171" fontId="4" fillId="12" borderId="1" xfId="1" applyNumberFormat="1" applyFont="1" applyFill="1" applyBorder="1" applyAlignment="1">
      <alignment vertical="center"/>
    </xf>
    <xf numFmtId="1" fontId="3" fillId="0" borderId="1" xfId="0" applyNumberFormat="1" applyFont="1" applyBorder="1" applyAlignment="1">
      <alignment horizontal="center" vertical="center"/>
    </xf>
    <xf numFmtId="166" fontId="3" fillId="0" borderId="1" xfId="1" applyNumberFormat="1" applyFont="1" applyBorder="1" applyAlignment="1">
      <alignment vertical="center"/>
    </xf>
    <xf numFmtId="0" fontId="3" fillId="3" borderId="1" xfId="0" applyFont="1" applyFill="1" applyBorder="1" applyAlignment="1">
      <alignment vertical="center" wrapText="1"/>
    </xf>
    <xf numFmtId="165" fontId="3" fillId="3" borderId="1" xfId="1" applyFont="1" applyFill="1" applyBorder="1" applyAlignment="1">
      <alignment horizontal="center" vertical="center"/>
    </xf>
    <xf numFmtId="165" fontId="27" fillId="12" borderId="1" xfId="1" applyFont="1" applyFill="1" applyBorder="1" applyAlignment="1">
      <alignment vertical="center"/>
    </xf>
    <xf numFmtId="166" fontId="27" fillId="0" borderId="29" xfId="1" applyNumberFormat="1" applyFont="1" applyBorder="1" applyAlignment="1">
      <alignment vertical="center" wrapText="1"/>
    </xf>
    <xf numFmtId="165" fontId="33" fillId="0" borderId="0" xfId="1" applyFont="1"/>
    <xf numFmtId="165" fontId="3" fillId="0" borderId="0" xfId="1" applyFont="1" applyFill="1" applyAlignment="1">
      <alignment horizontal="center" vertical="center" wrapText="1"/>
    </xf>
    <xf numFmtId="165" fontId="27" fillId="0" borderId="0" xfId="1" applyFont="1" applyFill="1" applyBorder="1" applyAlignment="1">
      <alignment horizontal="center" vertical="center" wrapText="1"/>
    </xf>
    <xf numFmtId="0" fontId="26" fillId="0" borderId="0" xfId="0" applyFont="1"/>
    <xf numFmtId="165" fontId="26" fillId="0" borderId="0" xfId="1" applyFont="1" applyFill="1" applyAlignment="1">
      <alignment horizontal="center" vertical="center" wrapText="1"/>
    </xf>
    <xf numFmtId="0" fontId="34" fillId="0" borderId="0" xfId="0" applyFont="1"/>
    <xf numFmtId="0" fontId="34" fillId="18" borderId="0" xfId="0" applyFont="1" applyFill="1" applyAlignment="1">
      <alignment horizontal="right" vertical="center" wrapText="1"/>
    </xf>
    <xf numFmtId="165" fontId="26" fillId="10" borderId="0" xfId="1" applyFont="1" applyFill="1" applyAlignment="1">
      <alignment horizontal="center" vertical="center" wrapText="1"/>
    </xf>
    <xf numFmtId="165" fontId="26" fillId="2" borderId="0" xfId="1" applyFont="1" applyFill="1" applyAlignment="1">
      <alignment horizontal="center" vertical="center" wrapText="1"/>
    </xf>
    <xf numFmtId="165" fontId="26" fillId="8" borderId="0" xfId="1" applyFont="1" applyFill="1" applyAlignment="1">
      <alignment horizontal="center" vertical="center" wrapText="1"/>
    </xf>
    <xf numFmtId="165" fontId="26" fillId="0" borderId="0" xfId="1" applyFont="1" applyFill="1"/>
    <xf numFmtId="165" fontId="27" fillId="0" borderId="0" xfId="1" applyFont="1"/>
    <xf numFmtId="165" fontId="27" fillId="0" borderId="0" xfId="1" applyFont="1" applyFill="1" applyAlignment="1">
      <alignment horizontal="center" vertical="center" wrapText="1"/>
    </xf>
    <xf numFmtId="165" fontId="3" fillId="0" borderId="0" xfId="1" applyFont="1" applyFill="1"/>
    <xf numFmtId="0" fontId="26" fillId="0" borderId="1" xfId="0" applyFont="1" applyBorder="1"/>
    <xf numFmtId="165" fontId="26" fillId="0" borderId="1" xfId="1" applyFont="1" applyFill="1" applyBorder="1"/>
    <xf numFmtId="166" fontId="26" fillId="0" borderId="1" xfId="1" applyNumberFormat="1" applyFont="1" applyFill="1" applyBorder="1"/>
    <xf numFmtId="167" fontId="26" fillId="0" borderId="1" xfId="1" applyNumberFormat="1" applyFont="1" applyFill="1" applyBorder="1"/>
    <xf numFmtId="0" fontId="26" fillId="0" borderId="31" xfId="0" applyFont="1" applyBorder="1"/>
    <xf numFmtId="165" fontId="26" fillId="0" borderId="31" xfId="1" applyFont="1" applyFill="1" applyBorder="1"/>
    <xf numFmtId="0" fontId="27" fillId="19" borderId="1" xfId="0" applyFont="1" applyFill="1" applyBorder="1" applyAlignment="1">
      <alignment horizontal="center" vertical="center"/>
    </xf>
    <xf numFmtId="165" fontId="27" fillId="19" borderId="1" xfId="1" applyFont="1" applyFill="1" applyBorder="1" applyAlignment="1">
      <alignment horizontal="center"/>
    </xf>
    <xf numFmtId="0" fontId="27" fillId="19" borderId="1" xfId="0" applyFont="1" applyFill="1" applyBorder="1" applyAlignment="1">
      <alignment horizontal="center"/>
    </xf>
    <xf numFmtId="166" fontId="32" fillId="3" borderId="0" xfId="4" applyNumberFormat="1" applyFont="1" applyFill="1" applyAlignment="1">
      <alignment horizontal="center"/>
    </xf>
    <xf numFmtId="166" fontId="30" fillId="3" borderId="0" xfId="3" applyNumberFormat="1" applyFont="1" applyFill="1" applyAlignment="1">
      <alignment horizontal="center"/>
    </xf>
    <xf numFmtId="166" fontId="30" fillId="3" borderId="0" xfId="3" applyNumberFormat="1" applyFont="1" applyFill="1"/>
    <xf numFmtId="166" fontId="32" fillId="3" borderId="23" xfId="4" applyNumberFormat="1" applyFont="1" applyFill="1" applyBorder="1"/>
    <xf numFmtId="166" fontId="23" fillId="3" borderId="21" xfId="3" applyNumberFormat="1" applyFont="1" applyFill="1" applyBorder="1"/>
    <xf numFmtId="166" fontId="23" fillId="3" borderId="13" xfId="3" applyNumberFormat="1" applyFont="1" applyFill="1" applyBorder="1"/>
    <xf numFmtId="166" fontId="20" fillId="0" borderId="1" xfId="1" applyNumberFormat="1" applyFont="1" applyBorder="1" applyAlignment="1">
      <alignment shrinkToFit="1"/>
    </xf>
    <xf numFmtId="166" fontId="19" fillId="0" borderId="1" xfId="1" applyNumberFormat="1" applyFont="1" applyBorder="1" applyAlignment="1">
      <alignment shrinkToFit="1"/>
    </xf>
    <xf numFmtId="166" fontId="3" fillId="0" borderId="0" xfId="1" applyNumberFormat="1" applyFont="1" applyAlignment="1"/>
    <xf numFmtId="0" fontId="35" fillId="0" borderId="0" xfId="0" applyFont="1" applyAlignment="1">
      <alignment vertical="center"/>
    </xf>
    <xf numFmtId="165" fontId="36" fillId="0" borderId="0" xfId="1" applyFont="1" applyAlignment="1">
      <alignment vertical="center"/>
    </xf>
    <xf numFmtId="165" fontId="35" fillId="0" borderId="0" xfId="1" applyFont="1" applyAlignment="1">
      <alignment vertical="center"/>
    </xf>
    <xf numFmtId="165" fontId="3" fillId="0" borderId="0" xfId="1" applyFont="1" applyAlignment="1"/>
    <xf numFmtId="0" fontId="37" fillId="0" borderId="0" xfId="0" applyFont="1" applyAlignment="1">
      <alignment vertical="center"/>
    </xf>
    <xf numFmtId="165" fontId="37" fillId="0" borderId="0" xfId="1" applyFont="1" applyAlignment="1">
      <alignment vertical="center"/>
    </xf>
    <xf numFmtId="165" fontId="27" fillId="20" borderId="1" xfId="1" applyFont="1" applyFill="1" applyBorder="1" applyAlignment="1">
      <alignment horizontal="center"/>
    </xf>
    <xf numFmtId="165" fontId="5" fillId="20" borderId="1" xfId="1" applyFont="1" applyFill="1" applyBorder="1" applyAlignment="1">
      <alignment horizontal="center"/>
    </xf>
    <xf numFmtId="165" fontId="5" fillId="7" borderId="1" xfId="1" applyFont="1" applyFill="1" applyBorder="1" applyAlignment="1">
      <alignment horizontal="center"/>
    </xf>
    <xf numFmtId="165" fontId="5" fillId="7" borderId="1" xfId="1" applyFont="1" applyFill="1" applyBorder="1" applyAlignment="1">
      <alignment horizontal="center" vertical="center"/>
    </xf>
    <xf numFmtId="0" fontId="5" fillId="7" borderId="1" xfId="0" applyFont="1" applyFill="1" applyBorder="1" applyAlignment="1">
      <alignment horizontal="center"/>
    </xf>
    <xf numFmtId="0" fontId="5" fillId="6" borderId="1" xfId="0" applyFont="1" applyFill="1" applyBorder="1" applyAlignment="1">
      <alignment horizontal="center"/>
    </xf>
    <xf numFmtId="166" fontId="5" fillId="6" borderId="1" xfId="0" applyNumberFormat="1" applyFont="1" applyFill="1" applyBorder="1"/>
    <xf numFmtId="0" fontId="38" fillId="0" borderId="0" xfId="0" applyFont="1"/>
    <xf numFmtId="165" fontId="26" fillId="11" borderId="1" xfId="1" applyFont="1" applyFill="1" applyBorder="1" applyAlignment="1"/>
    <xf numFmtId="0" fontId="3" fillId="11" borderId="1" xfId="0" applyFont="1" applyFill="1" applyBorder="1" applyAlignment="1">
      <alignment horizontal="left" vertical="center"/>
    </xf>
    <xf numFmtId="0" fontId="20" fillId="11" borderId="1" xfId="0" applyFont="1" applyFill="1" applyBorder="1" applyAlignment="1">
      <alignment horizontal="left"/>
    </xf>
    <xf numFmtId="0" fontId="5" fillId="11" borderId="1" xfId="0" applyFont="1" applyFill="1" applyBorder="1"/>
    <xf numFmtId="165" fontId="5" fillId="20" borderId="1" xfId="1" applyFont="1" applyFill="1" applyBorder="1" applyAlignment="1"/>
    <xf numFmtId="165" fontId="27" fillId="20" borderId="1" xfId="1" applyFont="1" applyFill="1" applyBorder="1" applyAlignment="1"/>
    <xf numFmtId="165" fontId="5" fillId="0" borderId="0" xfId="1" applyFont="1" applyAlignment="1"/>
    <xf numFmtId="0" fontId="5" fillId="6" borderId="1" xfId="0" applyFont="1" applyFill="1" applyBorder="1"/>
    <xf numFmtId="165" fontId="27" fillId="6" borderId="1" xfId="1" applyFont="1" applyFill="1" applyBorder="1" applyAlignment="1"/>
    <xf numFmtId="165" fontId="5" fillId="6" borderId="1" xfId="1" applyFont="1" applyFill="1" applyBorder="1" applyAlignment="1"/>
    <xf numFmtId="166" fontId="5" fillId="6" borderId="1" xfId="1" applyNumberFormat="1" applyFont="1" applyFill="1" applyBorder="1" applyAlignment="1"/>
    <xf numFmtId="166" fontId="5" fillId="20" borderId="1" xfId="1" applyNumberFormat="1" applyFont="1" applyFill="1" applyBorder="1" applyAlignment="1"/>
    <xf numFmtId="0" fontId="5" fillId="0" borderId="0" xfId="0" applyFont="1"/>
    <xf numFmtId="165" fontId="27" fillId="0" borderId="0" xfId="1" applyFont="1" applyAlignment="1"/>
    <xf numFmtId="4" fontId="3" fillId="0" borderId="0" xfId="0" applyNumberFormat="1" applyFont="1"/>
    <xf numFmtId="166" fontId="5" fillId="0" borderId="0" xfId="0" applyNumberFormat="1" applyFont="1"/>
    <xf numFmtId="0" fontId="4" fillId="0" borderId="0" xfId="0" applyFont="1"/>
    <xf numFmtId="165" fontId="4" fillId="0" borderId="0" xfId="1" applyFont="1" applyAlignment="1"/>
    <xf numFmtId="166" fontId="4" fillId="0" borderId="0" xfId="1" applyNumberFormat="1" applyFont="1" applyAlignment="1"/>
    <xf numFmtId="166" fontId="5" fillId="0" borderId="0" xfId="1" applyNumberFormat="1" applyFont="1" applyAlignment="1"/>
    <xf numFmtId="165" fontId="26" fillId="0" borderId="0" xfId="1" applyFont="1" applyAlignment="1"/>
    <xf numFmtId="0" fontId="40" fillId="0" borderId="0" xfId="0" applyFont="1"/>
    <xf numFmtId="0" fontId="40" fillId="0" borderId="0" xfId="0" applyFont="1" applyAlignment="1">
      <alignment horizontal="left"/>
    </xf>
    <xf numFmtId="0" fontId="26" fillId="6" borderId="1" xfId="0" applyFont="1" applyFill="1" applyBorder="1"/>
    <xf numFmtId="165" fontId="26" fillId="6" borderId="1" xfId="1" applyFont="1" applyFill="1" applyBorder="1" applyAlignment="1"/>
    <xf numFmtId="165" fontId="3" fillId="6" borderId="1" xfId="1" applyFont="1" applyFill="1" applyBorder="1" applyAlignment="1"/>
    <xf numFmtId="165" fontId="38" fillId="6" borderId="1" xfId="1" applyFont="1" applyFill="1" applyBorder="1" applyAlignment="1"/>
    <xf numFmtId="165" fontId="20" fillId="6" borderId="1" xfId="1" applyFont="1" applyFill="1" applyBorder="1" applyAlignment="1"/>
    <xf numFmtId="165" fontId="20" fillId="6" borderId="1" xfId="1" quotePrefix="1" applyFont="1" applyFill="1" applyBorder="1" applyAlignment="1"/>
    <xf numFmtId="166" fontId="38" fillId="6" borderId="1" xfId="1" applyNumberFormat="1" applyFont="1" applyFill="1" applyBorder="1" applyAlignment="1"/>
    <xf numFmtId="0" fontId="38" fillId="6" borderId="1" xfId="0" applyFont="1" applyFill="1" applyBorder="1"/>
    <xf numFmtId="165" fontId="39" fillId="6" borderId="1" xfId="0" applyNumberFormat="1" applyFont="1" applyFill="1" applyBorder="1" applyAlignment="1">
      <alignment horizontal="left"/>
    </xf>
    <xf numFmtId="165" fontId="38" fillId="11" borderId="1" xfId="1" applyFont="1" applyFill="1" applyBorder="1" applyAlignment="1"/>
    <xf numFmtId="165" fontId="3" fillId="11" borderId="1" xfId="1" applyFont="1" applyFill="1" applyBorder="1" applyAlignment="1"/>
    <xf numFmtId="165" fontId="20" fillId="11" borderId="1" xfId="1" quotePrefix="1" applyFont="1" applyFill="1" applyBorder="1" applyAlignment="1"/>
    <xf numFmtId="165" fontId="0" fillId="11" borderId="1" xfId="1" applyFont="1" applyFill="1" applyBorder="1" applyAlignment="1">
      <alignment horizontal="left"/>
    </xf>
    <xf numFmtId="166" fontId="38" fillId="11" borderId="1" xfId="1" applyNumberFormat="1" applyFont="1" applyFill="1" applyBorder="1" applyAlignment="1"/>
    <xf numFmtId="166" fontId="3" fillId="11" borderId="1" xfId="1" applyNumberFormat="1" applyFont="1" applyFill="1" applyBorder="1" applyAlignment="1"/>
    <xf numFmtId="166" fontId="5" fillId="11" borderId="1" xfId="0" applyNumberFormat="1" applyFont="1" applyFill="1" applyBorder="1"/>
    <xf numFmtId="165" fontId="20" fillId="11" borderId="1" xfId="1" applyFont="1" applyFill="1" applyBorder="1" applyAlignment="1"/>
    <xf numFmtId="0" fontId="26" fillId="6" borderId="33" xfId="0" applyFont="1" applyFill="1" applyBorder="1"/>
    <xf numFmtId="165" fontId="26" fillId="6" borderId="33" xfId="1" applyFont="1" applyFill="1" applyBorder="1" applyAlignment="1"/>
    <xf numFmtId="165" fontId="3" fillId="6" borderId="33" xfId="1" applyFont="1" applyFill="1" applyBorder="1" applyAlignment="1"/>
    <xf numFmtId="165" fontId="20" fillId="6" borderId="33" xfId="1" applyFont="1" applyFill="1" applyBorder="1" applyAlignment="1"/>
    <xf numFmtId="165" fontId="20" fillId="6" borderId="33" xfId="1" quotePrefix="1" applyFont="1" applyFill="1" applyBorder="1" applyAlignment="1"/>
    <xf numFmtId="165" fontId="38" fillId="6" borderId="33" xfId="1" applyFont="1" applyFill="1" applyBorder="1" applyAlignment="1"/>
    <xf numFmtId="166" fontId="38" fillId="6" borderId="33" xfId="1" applyNumberFormat="1" applyFont="1" applyFill="1" applyBorder="1" applyAlignment="1"/>
    <xf numFmtId="166" fontId="5" fillId="6" borderId="33" xfId="0" applyNumberFormat="1" applyFont="1" applyFill="1" applyBorder="1"/>
    <xf numFmtId="0" fontId="30" fillId="3" borderId="0" xfId="3" applyFont="1" applyFill="1" applyAlignment="1">
      <alignment horizontal="center"/>
    </xf>
    <xf numFmtId="172" fontId="32" fillId="11" borderId="0" xfId="3" applyNumberFormat="1" applyFont="1" applyFill="1" applyAlignment="1">
      <alignment horizontal="right"/>
    </xf>
    <xf numFmtId="166" fontId="32" fillId="11" borderId="0" xfId="4" applyNumberFormat="1" applyFont="1" applyFill="1" applyAlignment="1">
      <alignment horizontal="center"/>
    </xf>
    <xf numFmtId="166" fontId="5" fillId="21" borderId="1" xfId="0" applyNumberFormat="1" applyFont="1" applyFill="1" applyBorder="1"/>
    <xf numFmtId="0" fontId="35" fillId="0" borderId="31" xfId="0" applyFont="1" applyBorder="1" applyAlignment="1">
      <alignment horizontal="center" vertical="center"/>
    </xf>
    <xf numFmtId="165" fontId="26" fillId="0" borderId="31" xfId="1" applyFont="1" applyFill="1" applyBorder="1" applyAlignment="1"/>
    <xf numFmtId="165" fontId="38" fillId="0" borderId="31" xfId="1" applyFont="1" applyFill="1" applyBorder="1" applyAlignment="1"/>
    <xf numFmtId="165" fontId="3" fillId="0" borderId="31" xfId="1" applyFont="1" applyFill="1" applyBorder="1" applyAlignment="1"/>
    <xf numFmtId="165" fontId="20" fillId="0" borderId="31" xfId="1" quotePrefix="1" applyFont="1" applyFill="1" applyBorder="1" applyAlignment="1"/>
    <xf numFmtId="165" fontId="0" fillId="0" borderId="31" xfId="1" applyFont="1" applyFill="1" applyBorder="1" applyAlignment="1">
      <alignment horizontal="left"/>
    </xf>
    <xf numFmtId="166" fontId="38" fillId="0" borderId="31" xfId="1" applyNumberFormat="1" applyFont="1" applyFill="1" applyBorder="1" applyAlignment="1"/>
    <xf numFmtId="166" fontId="3" fillId="0" borderId="31" xfId="1" applyNumberFormat="1" applyFont="1" applyFill="1" applyBorder="1" applyAlignment="1"/>
    <xf numFmtId="166" fontId="5" fillId="0" borderId="31" xfId="0" applyNumberFormat="1" applyFont="1" applyBorder="1"/>
    <xf numFmtId="0" fontId="35" fillId="0" borderId="1" xfId="0" applyFont="1" applyBorder="1" applyAlignment="1">
      <alignment horizontal="center"/>
    </xf>
    <xf numFmtId="166" fontId="3" fillId="20" borderId="1" xfId="1" applyNumberFormat="1" applyFont="1" applyFill="1" applyBorder="1" applyAlignment="1"/>
    <xf numFmtId="166" fontId="5" fillId="20" borderId="1" xfId="0" applyNumberFormat="1" applyFont="1" applyFill="1" applyBorder="1"/>
    <xf numFmtId="165" fontId="19" fillId="3" borderId="0" xfId="3" applyNumberFormat="1" applyFont="1" applyFill="1" applyAlignment="1">
      <alignment horizontal="center"/>
    </xf>
    <xf numFmtId="0" fontId="19" fillId="3" borderId="0" xfId="3" applyFont="1" applyFill="1" applyAlignment="1">
      <alignment horizontal="center"/>
    </xf>
    <xf numFmtId="166" fontId="20" fillId="3" borderId="0" xfId="1" applyNumberFormat="1" applyFont="1" applyFill="1"/>
    <xf numFmtId="167" fontId="0" fillId="0" borderId="0" xfId="1" applyNumberFormat="1" applyFont="1"/>
    <xf numFmtId="0" fontId="20" fillId="3" borderId="2" xfId="4" applyNumberFormat="1" applyFont="1" applyFill="1" applyBorder="1" applyAlignment="1">
      <alignment horizontal="center"/>
    </xf>
    <xf numFmtId="166" fontId="35" fillId="0" borderId="0" xfId="1" applyNumberFormat="1" applyFont="1" applyAlignment="1">
      <alignment vertical="center"/>
    </xf>
    <xf numFmtId="167" fontId="2" fillId="0" borderId="0" xfId="1" applyNumberFormat="1" applyFont="1"/>
    <xf numFmtId="165" fontId="20" fillId="0" borderId="0" xfId="0" applyNumberFormat="1" applyFont="1"/>
    <xf numFmtId="165" fontId="19" fillId="0" borderId="6" xfId="1" applyFont="1" applyBorder="1" applyAlignment="1">
      <alignment horizontal="center" vertical="center" wrapText="1"/>
    </xf>
    <xf numFmtId="165" fontId="20" fillId="0" borderId="6" xfId="1" applyFont="1" applyBorder="1"/>
    <xf numFmtId="165" fontId="19" fillId="0" borderId="6" xfId="1" applyFont="1" applyBorder="1"/>
    <xf numFmtId="165" fontId="20" fillId="0" borderId="1" xfId="0" applyNumberFormat="1" applyFont="1" applyBorder="1"/>
    <xf numFmtId="166" fontId="20" fillId="0" borderId="1" xfId="0" applyNumberFormat="1" applyFont="1" applyBorder="1"/>
    <xf numFmtId="166" fontId="19" fillId="4" borderId="0" xfId="0" applyNumberFormat="1" applyFont="1" applyFill="1"/>
    <xf numFmtId="165" fontId="19" fillId="0" borderId="0" xfId="1" applyFont="1"/>
    <xf numFmtId="165" fontId="20" fillId="0" borderId="0" xfId="1" applyFont="1" applyAlignment="1">
      <alignment horizontal="center" vertical="center" wrapText="1"/>
    </xf>
    <xf numFmtId="165" fontId="19" fillId="0" borderId="1" xfId="1" applyFont="1" applyBorder="1" applyAlignment="1">
      <alignment horizontal="center" vertical="center"/>
    </xf>
    <xf numFmtId="166" fontId="20" fillId="0" borderId="1" xfId="1" applyNumberFormat="1" applyFont="1" applyBorder="1" applyAlignment="1">
      <alignment horizontal="center"/>
    </xf>
    <xf numFmtId="165" fontId="20" fillId="0" borderId="1" xfId="1" applyFont="1" applyBorder="1" applyAlignment="1">
      <alignment horizontal="center" vertical="center" wrapText="1"/>
    </xf>
    <xf numFmtId="166" fontId="20" fillId="5" borderId="1" xfId="1" applyNumberFormat="1" applyFont="1" applyFill="1" applyBorder="1"/>
    <xf numFmtId="166" fontId="20" fillId="0" borderId="1" xfId="1" applyNumberFormat="1" applyFont="1" applyBorder="1" applyAlignment="1">
      <alignment horizontal="center" vertical="center" wrapText="1"/>
    </xf>
    <xf numFmtId="0" fontId="20" fillId="0" borderId="1" xfId="1" applyNumberFormat="1" applyFont="1" applyBorder="1"/>
    <xf numFmtId="171" fontId="3" fillId="0" borderId="1" xfId="1" applyNumberFormat="1" applyFont="1" applyBorder="1"/>
    <xf numFmtId="170" fontId="20" fillId="0" borderId="1" xfId="1" applyNumberFormat="1" applyFont="1" applyBorder="1"/>
    <xf numFmtId="166" fontId="5" fillId="5" borderId="1" xfId="1" applyNumberFormat="1" applyFont="1" applyFill="1" applyBorder="1"/>
    <xf numFmtId="166" fontId="20" fillId="11" borderId="1" xfId="1" applyNumberFormat="1" applyFont="1" applyFill="1" applyBorder="1"/>
    <xf numFmtId="165" fontId="19" fillId="0" borderId="0" xfId="1" applyFont="1" applyAlignment="1">
      <alignment horizontal="center" vertical="center"/>
    </xf>
    <xf numFmtId="165" fontId="3" fillId="0" borderId="1" xfId="1" applyFont="1" applyFill="1" applyBorder="1"/>
    <xf numFmtId="0" fontId="27" fillId="0" borderId="1" xfId="0" applyFont="1" applyBorder="1"/>
    <xf numFmtId="165" fontId="14" fillId="0" borderId="0" xfId="1" applyFont="1"/>
    <xf numFmtId="0" fontId="42" fillId="0" borderId="1" xfId="0" applyFont="1" applyBorder="1" applyAlignment="1">
      <alignment horizontal="center"/>
    </xf>
    <xf numFmtId="166" fontId="38" fillId="0" borderId="0" xfId="0" applyNumberFormat="1" applyFont="1"/>
    <xf numFmtId="165" fontId="3" fillId="0" borderId="1" xfId="1" applyFont="1" applyFill="1" applyBorder="1" applyAlignment="1"/>
    <xf numFmtId="165" fontId="20" fillId="15" borderId="2" xfId="4" applyFont="1" applyFill="1" applyBorder="1"/>
    <xf numFmtId="166" fontId="22" fillId="3" borderId="0" xfId="3" applyNumberFormat="1" applyFont="1" applyFill="1"/>
    <xf numFmtId="0" fontId="30" fillId="7" borderId="0" xfId="3" applyFont="1" applyFill="1" applyAlignment="1">
      <alignment horizontal="center"/>
    </xf>
    <xf numFmtId="166" fontId="30" fillId="7" borderId="0" xfId="1" applyNumberFormat="1" applyFont="1" applyFill="1" applyBorder="1" applyAlignment="1">
      <alignment horizontal="center"/>
    </xf>
    <xf numFmtId="165" fontId="20" fillId="0" borderId="2" xfId="4" applyFont="1" applyFill="1" applyBorder="1"/>
    <xf numFmtId="165" fontId="43" fillId="0" borderId="10" xfId="1" applyFont="1" applyBorder="1" applyAlignment="1">
      <alignment horizontal="center" vertical="center"/>
    </xf>
    <xf numFmtId="0" fontId="44" fillId="0" borderId="0" xfId="0" applyFont="1" applyAlignment="1">
      <alignment vertical="top"/>
    </xf>
    <xf numFmtId="166" fontId="44" fillId="7" borderId="0" xfId="1" applyNumberFormat="1" applyFont="1" applyFill="1" applyAlignment="1">
      <alignment vertical="top"/>
    </xf>
    <xf numFmtId="166" fontId="44" fillId="0" borderId="0" xfId="1" applyNumberFormat="1" applyFont="1" applyFill="1" applyAlignment="1">
      <alignment vertical="top"/>
    </xf>
    <xf numFmtId="166" fontId="43" fillId="0" borderId="40" xfId="1" applyNumberFormat="1" applyFont="1" applyBorder="1" applyAlignment="1">
      <alignment vertical="top"/>
    </xf>
    <xf numFmtId="166" fontId="43" fillId="11" borderId="0" xfId="1" applyNumberFormat="1" applyFont="1" applyFill="1" applyAlignment="1">
      <alignment vertical="top"/>
    </xf>
    <xf numFmtId="166" fontId="45" fillId="0" borderId="0" xfId="1" applyNumberFormat="1" applyFont="1" applyAlignment="1">
      <alignment horizontal="center" vertical="center"/>
    </xf>
    <xf numFmtId="166" fontId="43" fillId="4" borderId="31" xfId="1" applyNumberFormat="1" applyFont="1" applyFill="1" applyBorder="1" applyAlignment="1"/>
    <xf numFmtId="165" fontId="44" fillId="0" borderId="0" xfId="1" applyFont="1" applyAlignment="1">
      <alignment vertical="top"/>
    </xf>
    <xf numFmtId="166" fontId="44" fillId="0" borderId="0" xfId="1" applyNumberFormat="1" applyFont="1" applyAlignment="1">
      <alignment vertical="top"/>
    </xf>
    <xf numFmtId="166" fontId="43" fillId="4" borderId="1" xfId="1" applyNumberFormat="1" applyFont="1" applyFill="1" applyBorder="1" applyAlignment="1"/>
    <xf numFmtId="0" fontId="3" fillId="0" borderId="0" xfId="0" applyFont="1" applyAlignment="1">
      <alignment vertical="top"/>
    </xf>
    <xf numFmtId="166" fontId="3" fillId="0" borderId="0" xfId="1" applyNumberFormat="1" applyFont="1" applyAlignment="1">
      <alignment vertical="top"/>
    </xf>
    <xf numFmtId="0" fontId="44" fillId="0" borderId="1" xfId="0" applyFont="1" applyBorder="1"/>
    <xf numFmtId="166" fontId="44" fillId="23" borderId="1" xfId="1" applyNumberFormat="1" applyFont="1" applyFill="1" applyBorder="1" applyAlignment="1"/>
    <xf numFmtId="0" fontId="44" fillId="23" borderId="1" xfId="0" applyFont="1" applyFill="1" applyBorder="1"/>
    <xf numFmtId="0" fontId="3" fillId="0" borderId="37" xfId="0" applyFont="1" applyBorder="1" applyAlignment="1">
      <alignment vertical="top"/>
    </xf>
    <xf numFmtId="166" fontId="3" fillId="15" borderId="38" xfId="1" applyNumberFormat="1" applyFont="1" applyFill="1" applyBorder="1" applyAlignment="1">
      <alignment vertical="top"/>
    </xf>
    <xf numFmtId="166" fontId="3" fillId="0" borderId="29" xfId="1" applyNumberFormat="1" applyFont="1" applyBorder="1" applyAlignment="1">
      <alignment vertical="top"/>
    </xf>
    <xf numFmtId="166" fontId="3" fillId="0" borderId="0" xfId="0" applyNumberFormat="1" applyFont="1" applyAlignment="1">
      <alignment vertical="top"/>
    </xf>
    <xf numFmtId="166" fontId="3" fillId="0" borderId="38" xfId="1" applyNumberFormat="1" applyFont="1" applyBorder="1" applyAlignment="1">
      <alignment vertical="top"/>
    </xf>
    <xf numFmtId="0" fontId="5" fillId="0" borderId="0" xfId="0" applyFont="1" applyAlignment="1">
      <alignment horizontal="center" vertical="center"/>
    </xf>
    <xf numFmtId="0" fontId="3" fillId="0" borderId="0" xfId="0" applyFont="1" applyAlignment="1">
      <alignment horizontal="center" vertical="top"/>
    </xf>
    <xf numFmtId="165" fontId="3" fillId="7" borderId="38" xfId="1" applyFont="1" applyFill="1" applyBorder="1" applyAlignment="1">
      <alignment vertical="top"/>
    </xf>
    <xf numFmtId="165" fontId="3" fillId="0" borderId="38" xfId="1" applyFont="1" applyBorder="1" applyAlignment="1">
      <alignment vertical="top"/>
    </xf>
    <xf numFmtId="0" fontId="44" fillId="8" borderId="1" xfId="0" applyFont="1" applyFill="1" applyBorder="1"/>
    <xf numFmtId="166" fontId="44" fillId="8" borderId="1" xfId="1" applyNumberFormat="1" applyFont="1" applyFill="1" applyBorder="1" applyAlignment="1"/>
    <xf numFmtId="166" fontId="3" fillId="7" borderId="38" xfId="1" applyNumberFormat="1" applyFont="1" applyFill="1" applyBorder="1" applyAlignment="1">
      <alignment vertical="top"/>
    </xf>
    <xf numFmtId="0" fontId="44" fillId="0" borderId="31" xfId="0" applyFont="1" applyBorder="1"/>
    <xf numFmtId="166" fontId="44" fillId="23" borderId="31" xfId="1" applyNumberFormat="1" applyFont="1" applyFill="1" applyBorder="1" applyAlignment="1"/>
    <xf numFmtId="0" fontId="44" fillId="23" borderId="31" xfId="0" applyFont="1" applyFill="1" applyBorder="1"/>
    <xf numFmtId="0" fontId="3" fillId="0" borderId="39" xfId="0" applyFont="1" applyBorder="1" applyAlignment="1">
      <alignment vertical="top"/>
    </xf>
    <xf numFmtId="165" fontId="3" fillId="0" borderId="0" xfId="1" applyFont="1" applyAlignment="1">
      <alignment vertical="top"/>
    </xf>
    <xf numFmtId="0" fontId="3" fillId="23" borderId="1" xfId="0" applyFont="1" applyFill="1" applyBorder="1"/>
    <xf numFmtId="166" fontId="3" fillId="23" borderId="1" xfId="1" applyNumberFormat="1" applyFont="1" applyFill="1" applyBorder="1" applyAlignment="1"/>
    <xf numFmtId="0" fontId="3" fillId="23" borderId="31" xfId="0" applyFont="1" applyFill="1" applyBorder="1"/>
    <xf numFmtId="166" fontId="3" fillId="0" borderId="43" xfId="0" applyNumberFormat="1" applyFont="1" applyBorder="1" applyAlignment="1">
      <alignment vertical="top"/>
    </xf>
    <xf numFmtId="166" fontId="3" fillId="0" borderId="43" xfId="1" applyNumberFormat="1" applyFont="1" applyBorder="1" applyAlignment="1">
      <alignment vertical="top"/>
    </xf>
    <xf numFmtId="166" fontId="3" fillId="0" borderId="44" xfId="1" applyNumberFormat="1" applyFont="1" applyBorder="1" applyAlignment="1">
      <alignment vertical="top"/>
    </xf>
    <xf numFmtId="166" fontId="3" fillId="0" borderId="0" xfId="1" applyNumberFormat="1" applyFont="1" applyBorder="1" applyAlignment="1">
      <alignment vertical="top"/>
    </xf>
    <xf numFmtId="166" fontId="3" fillId="0" borderId="34" xfId="1" applyNumberFormat="1" applyFont="1" applyBorder="1" applyAlignment="1">
      <alignment vertical="top"/>
    </xf>
    <xf numFmtId="166" fontId="3" fillId="0" borderId="46" xfId="0" applyNumberFormat="1" applyFont="1" applyBorder="1" applyAlignment="1">
      <alignment vertical="top"/>
    </xf>
    <xf numFmtId="166" fontId="3" fillId="0" borderId="46" xfId="1" applyNumberFormat="1" applyFont="1" applyBorder="1" applyAlignment="1">
      <alignment vertical="top"/>
    </xf>
    <xf numFmtId="166" fontId="3" fillId="0" borderId="47" xfId="1" applyNumberFormat="1" applyFont="1" applyBorder="1" applyAlignment="1">
      <alignment vertical="top"/>
    </xf>
    <xf numFmtId="166" fontId="5" fillId="0" borderId="0" xfId="1" applyNumberFormat="1" applyFont="1" applyAlignment="1">
      <alignment horizontal="center" vertical="top"/>
    </xf>
    <xf numFmtId="0" fontId="43" fillId="0" borderId="0" xfId="0" applyFont="1" applyAlignment="1">
      <alignment horizontal="center" vertical="top"/>
    </xf>
    <xf numFmtId="166" fontId="5" fillId="0" borderId="0" xfId="1" applyNumberFormat="1" applyFont="1" applyAlignment="1">
      <alignment vertical="top"/>
    </xf>
    <xf numFmtId="166" fontId="4" fillId="0" borderId="41" xfId="1" applyNumberFormat="1" applyFont="1" applyBorder="1" applyAlignment="1">
      <alignment vertical="top"/>
    </xf>
    <xf numFmtId="166" fontId="4" fillId="0" borderId="0" xfId="1" applyNumberFormat="1" applyFont="1" applyAlignment="1">
      <alignment vertical="top"/>
    </xf>
    <xf numFmtId="166" fontId="5" fillId="0" borderId="0" xfId="0" applyNumberFormat="1" applyFont="1" applyAlignment="1">
      <alignment vertical="top"/>
    </xf>
    <xf numFmtId="0" fontId="5" fillId="0" borderId="0" xfId="0" applyFont="1" applyAlignment="1">
      <alignment horizontal="center" vertical="center" wrapText="1"/>
    </xf>
    <xf numFmtId="167" fontId="3" fillId="0" borderId="0" xfId="1" applyNumberFormat="1" applyFont="1"/>
    <xf numFmtId="165" fontId="26" fillId="0" borderId="7" xfId="1" applyFont="1" applyFill="1" applyBorder="1"/>
    <xf numFmtId="0" fontId="26" fillId="0" borderId="36" xfId="0" applyFont="1" applyBorder="1"/>
    <xf numFmtId="165" fontId="26" fillId="0" borderId="36" xfId="1" applyFont="1" applyFill="1" applyBorder="1"/>
    <xf numFmtId="165" fontId="27" fillId="0" borderId="36" xfId="1" applyFont="1" applyFill="1" applyBorder="1"/>
    <xf numFmtId="165" fontId="26" fillId="0" borderId="1" xfId="1" applyFont="1" applyBorder="1"/>
    <xf numFmtId="165" fontId="27" fillId="7" borderId="1" xfId="1" applyFont="1" applyFill="1" applyBorder="1"/>
    <xf numFmtId="165" fontId="27" fillId="0" borderId="1" xfId="1" applyFont="1" applyBorder="1"/>
    <xf numFmtId="14" fontId="3" fillId="0" borderId="1" xfId="0" applyNumberFormat="1" applyFont="1" applyBorder="1" applyAlignment="1">
      <alignment horizontal="center"/>
    </xf>
    <xf numFmtId="0" fontId="3" fillId="0" borderId="1" xfId="0" applyFont="1" applyBorder="1" applyAlignment="1">
      <alignment vertical="top"/>
    </xf>
    <xf numFmtId="167" fontId="3" fillId="0" borderId="1" xfId="1" applyNumberFormat="1" applyFont="1" applyBorder="1"/>
    <xf numFmtId="0" fontId="5" fillId="5" borderId="1" xfId="0" applyFont="1" applyFill="1" applyBorder="1" applyAlignment="1">
      <alignment horizontal="center" vertical="center" wrapText="1"/>
    </xf>
    <xf numFmtId="167" fontId="5" fillId="5" borderId="1" xfId="1" applyNumberFormat="1" applyFont="1" applyFill="1" applyBorder="1" applyAlignment="1">
      <alignment horizontal="center" vertical="center" wrapText="1"/>
    </xf>
    <xf numFmtId="166" fontId="3" fillId="0" borderId="1" xfId="1" applyNumberFormat="1" applyFont="1" applyBorder="1" applyAlignment="1">
      <alignment vertical="top"/>
    </xf>
    <xf numFmtId="173" fontId="0" fillId="0" borderId="0" xfId="0" applyNumberFormat="1"/>
    <xf numFmtId="167" fontId="26" fillId="11" borderId="1" xfId="1" applyNumberFormat="1" applyFont="1" applyFill="1" applyBorder="1" applyAlignment="1"/>
    <xf numFmtId="167" fontId="3" fillId="11" borderId="1" xfId="1" applyNumberFormat="1" applyFont="1" applyFill="1" applyBorder="1" applyAlignment="1"/>
    <xf numFmtId="167" fontId="5" fillId="0" borderId="1" xfId="1" applyNumberFormat="1" applyFont="1" applyBorder="1"/>
    <xf numFmtId="165" fontId="0" fillId="0" borderId="0" xfId="0" applyNumberFormat="1"/>
    <xf numFmtId="165" fontId="26" fillId="0" borderId="26" xfId="1" applyFont="1" applyFill="1" applyBorder="1" applyAlignment="1">
      <alignment vertical="center" wrapText="1"/>
    </xf>
    <xf numFmtId="14" fontId="3" fillId="0" borderId="0" xfId="0" applyNumberFormat="1" applyFont="1" applyAlignment="1">
      <alignment horizontal="center"/>
    </xf>
    <xf numFmtId="0" fontId="3" fillId="0" borderId="48" xfId="0" applyFont="1" applyBorder="1"/>
    <xf numFmtId="0" fontId="47" fillId="0" borderId="0" xfId="0" applyFont="1"/>
    <xf numFmtId="165" fontId="47" fillId="0" borderId="0" xfId="1" applyFont="1" applyFill="1" applyAlignment="1">
      <alignment horizontal="right"/>
    </xf>
    <xf numFmtId="0" fontId="48" fillId="0" borderId="0" xfId="0" applyFont="1" applyAlignment="1">
      <alignment horizontal="center"/>
    </xf>
    <xf numFmtId="165" fontId="47" fillId="0" borderId="0" xfId="1" applyFont="1" applyFill="1" applyBorder="1"/>
    <xf numFmtId="0" fontId="48" fillId="0" borderId="0" xfId="0" applyFont="1"/>
    <xf numFmtId="0" fontId="49" fillId="0" borderId="0" xfId="0" applyFont="1" applyAlignment="1">
      <alignment horizontal="center"/>
    </xf>
    <xf numFmtId="165" fontId="47" fillId="0" borderId="0" xfId="5" applyFont="1" applyFill="1" applyBorder="1"/>
    <xf numFmtId="165" fontId="47" fillId="0" borderId="0" xfId="1" applyFont="1" applyFill="1"/>
    <xf numFmtId="165" fontId="47" fillId="0" borderId="0" xfId="5" applyFont="1" applyFill="1" applyBorder="1" applyAlignment="1">
      <alignment horizontal="right"/>
    </xf>
    <xf numFmtId="165" fontId="50" fillId="0" borderId="0" xfId="1" applyFont="1" applyAlignment="1">
      <alignment horizontal="right"/>
    </xf>
    <xf numFmtId="0" fontId="48" fillId="0" borderId="1" xfId="0" applyFont="1" applyBorder="1" applyAlignment="1">
      <alignment horizontal="left"/>
    </xf>
    <xf numFmtId="0" fontId="48" fillId="0" borderId="1" xfId="2" applyFont="1" applyBorder="1" applyAlignment="1">
      <alignment horizontal="left"/>
    </xf>
    <xf numFmtId="4" fontId="47" fillId="0" borderId="1" xfId="0" applyNumberFormat="1" applyFont="1" applyBorder="1"/>
    <xf numFmtId="165" fontId="47" fillId="0" borderId="1" xfId="1" applyFont="1" applyFill="1" applyBorder="1"/>
    <xf numFmtId="0" fontId="48" fillId="0" borderId="1" xfId="0" applyFont="1" applyBorder="1"/>
    <xf numFmtId="0" fontId="47" fillId="0" borderId="1" xfId="0" applyFont="1" applyBorder="1" applyAlignment="1">
      <alignment horizontal="left"/>
    </xf>
    <xf numFmtId="0" fontId="47" fillId="0" borderId="1" xfId="2" applyFont="1" applyBorder="1"/>
    <xf numFmtId="165" fontId="48" fillId="0" borderId="1" xfId="6" applyFont="1" applyFill="1" applyBorder="1" applyProtection="1">
      <protection locked="0"/>
    </xf>
    <xf numFmtId="165" fontId="47" fillId="0" borderId="1" xfId="6" applyFont="1" applyFill="1" applyBorder="1" applyProtection="1">
      <protection locked="0"/>
    </xf>
    <xf numFmtId="0" fontId="47" fillId="0" borderId="1" xfId="0" applyFont="1" applyBorder="1" applyAlignment="1">
      <alignment horizontal="left" vertical="center"/>
    </xf>
    <xf numFmtId="0" fontId="47" fillId="0" borderId="1" xfId="2" applyFont="1" applyBorder="1" applyAlignment="1">
      <alignment wrapText="1"/>
    </xf>
    <xf numFmtId="174" fontId="47" fillId="0" borderId="1" xfId="0" applyNumberFormat="1" applyFont="1" applyBorder="1" applyAlignment="1">
      <alignment horizontal="left" vertical="center" wrapText="1"/>
    </xf>
    <xf numFmtId="0" fontId="48" fillId="0" borderId="1" xfId="0" applyFont="1" applyBorder="1" applyAlignment="1">
      <alignment horizontal="center"/>
    </xf>
    <xf numFmtId="4" fontId="48" fillId="0" borderId="1" xfId="0" applyNumberFormat="1" applyFont="1" applyBorder="1"/>
    <xf numFmtId="0" fontId="48" fillId="0" borderId="1" xfId="2" applyFont="1" applyBorder="1" applyAlignment="1">
      <alignment horizontal="center"/>
    </xf>
    <xf numFmtId="0" fontId="48" fillId="20" borderId="1" xfId="0" applyFont="1" applyFill="1" applyBorder="1" applyAlignment="1">
      <alignment horizontal="center"/>
    </xf>
    <xf numFmtId="0" fontId="48" fillId="20" borderId="1" xfId="0" applyFont="1" applyFill="1" applyBorder="1" applyAlignment="1">
      <alignment horizontal="center" wrapText="1"/>
    </xf>
    <xf numFmtId="4" fontId="51" fillId="20" borderId="1" xfId="0" applyNumberFormat="1" applyFont="1" applyFill="1" applyBorder="1" applyAlignment="1">
      <alignment horizontal="right" vertical="center"/>
    </xf>
    <xf numFmtId="165" fontId="47" fillId="0" borderId="0" xfId="0" applyNumberFormat="1" applyFont="1" applyAlignment="1">
      <alignment vertical="center"/>
    </xf>
    <xf numFmtId="0" fontId="47" fillId="0" borderId="0" xfId="0" applyFont="1" applyAlignment="1">
      <alignment vertical="center"/>
    </xf>
    <xf numFmtId="0" fontId="48" fillId="0" borderId="1" xfId="0" applyFont="1" applyBorder="1" applyAlignment="1">
      <alignment horizontal="center" wrapText="1"/>
    </xf>
    <xf numFmtId="0" fontId="48" fillId="0" borderId="1" xfId="2" applyFont="1" applyBorder="1"/>
    <xf numFmtId="4" fontId="52" fillId="0" borderId="1" xfId="0" applyNumberFormat="1" applyFont="1" applyBorder="1" applyAlignment="1">
      <alignment horizontal="right" vertical="center"/>
    </xf>
    <xf numFmtId="0" fontId="48" fillId="0" borderId="1" xfId="0" applyFont="1" applyBorder="1" applyAlignment="1">
      <alignment wrapText="1"/>
    </xf>
    <xf numFmtId="0" fontId="47" fillId="0" borderId="1" xfId="0" applyFont="1" applyBorder="1" applyAlignment="1">
      <alignment wrapText="1"/>
    </xf>
    <xf numFmtId="0" fontId="47" fillId="0" borderId="1" xfId="2" applyFont="1" applyBorder="1" applyAlignment="1">
      <alignment horizontal="left"/>
    </xf>
    <xf numFmtId="0" fontId="47" fillId="0" borderId="1" xfId="0" applyFont="1" applyBorder="1"/>
    <xf numFmtId="0" fontId="47" fillId="0" borderId="1" xfId="2" applyFont="1" applyBorder="1" applyAlignment="1">
      <alignment horizontal="center"/>
    </xf>
    <xf numFmtId="0" fontId="48" fillId="0" borderId="1" xfId="2" applyFont="1" applyBorder="1" applyAlignment="1">
      <alignment horizontal="left" wrapText="1"/>
    </xf>
    <xf numFmtId="165" fontId="48" fillId="0" borderId="1" xfId="6" applyFont="1" applyFill="1" applyBorder="1"/>
    <xf numFmtId="165" fontId="47" fillId="0" borderId="1" xfId="6" applyFont="1" applyFill="1" applyBorder="1"/>
    <xf numFmtId="0" fontId="48" fillId="20" borderId="1" xfId="0" applyFont="1" applyFill="1" applyBorder="1"/>
    <xf numFmtId="165" fontId="48" fillId="20" borderId="1" xfId="6" applyFont="1" applyFill="1" applyBorder="1"/>
    <xf numFmtId="0" fontId="47" fillId="0" borderId="0" xfId="0" applyFont="1" applyAlignment="1">
      <alignment horizontal="left"/>
    </xf>
    <xf numFmtId="167" fontId="47" fillId="0" borderId="0" xfId="6" applyNumberFormat="1" applyFont="1" applyFill="1" applyBorder="1"/>
    <xf numFmtId="165" fontId="47" fillId="0" borderId="0" xfId="0" applyNumberFormat="1" applyFont="1"/>
    <xf numFmtId="165" fontId="47" fillId="0" borderId="0" xfId="6" applyFont="1" applyFill="1" applyBorder="1"/>
    <xf numFmtId="0" fontId="10" fillId="0" borderId="0" xfId="2" applyFont="1"/>
    <xf numFmtId="0" fontId="47" fillId="0" borderId="0" xfId="7" applyFont="1"/>
    <xf numFmtId="0" fontId="47" fillId="0" borderId="0" xfId="0" applyFont="1" applyAlignment="1">
      <alignment horizontal="center"/>
    </xf>
    <xf numFmtId="165" fontId="47" fillId="0" borderId="0" xfId="1" applyFont="1"/>
    <xf numFmtId="165" fontId="48" fillId="0" borderId="0" xfId="1" applyFont="1" applyFill="1" applyBorder="1"/>
    <xf numFmtId="165" fontId="47" fillId="0" borderId="0" xfId="6" applyFont="1"/>
    <xf numFmtId="175" fontId="39" fillId="0" borderId="0" xfId="6" applyNumberFormat="1" applyFont="1" applyAlignment="1">
      <alignment horizontal="center"/>
    </xf>
    <xf numFmtId="165" fontId="39" fillId="0" borderId="0" xfId="6" applyFont="1" applyBorder="1" applyAlignment="1">
      <alignment horizontal="right" vertical="center"/>
    </xf>
    <xf numFmtId="165" fontId="39" fillId="0" borderId="0" xfId="6" applyFont="1" applyBorder="1" applyAlignment="1">
      <alignment horizontal="center" vertical="center"/>
    </xf>
    <xf numFmtId="0" fontId="53" fillId="0" borderId="0" xfId="0" applyFont="1" applyAlignment="1">
      <alignment horizontal="center"/>
    </xf>
    <xf numFmtId="165" fontId="39" fillId="0" borderId="0" xfId="0" applyNumberFormat="1" applyFont="1"/>
    <xf numFmtId="0" fontId="54" fillId="0" borderId="0" xfId="0" applyFont="1" applyAlignment="1">
      <alignment horizontal="center"/>
    </xf>
    <xf numFmtId="165" fontId="39" fillId="0" borderId="0" xfId="6" applyFont="1"/>
    <xf numFmtId="0" fontId="26" fillId="0" borderId="0" xfId="0" applyFont="1" applyAlignment="1">
      <alignment horizontal="left"/>
    </xf>
    <xf numFmtId="175" fontId="39" fillId="0" borderId="0" xfId="6" applyNumberFormat="1" applyFont="1" applyBorder="1" applyAlignment="1">
      <alignment horizontal="center"/>
    </xf>
    <xf numFmtId="165" fontId="39" fillId="0" borderId="0" xfId="6" applyFont="1" applyBorder="1" applyAlignment="1">
      <alignment horizontal="center" vertical="center" wrapText="1"/>
    </xf>
    <xf numFmtId="165" fontId="39" fillId="0" borderId="0" xfId="6" applyFont="1" applyBorder="1" applyAlignment="1">
      <alignment horizontal="right"/>
    </xf>
    <xf numFmtId="165" fontId="56" fillId="0" borderId="0" xfId="0" applyNumberFormat="1" applyFont="1" applyAlignment="1">
      <alignment horizontal="center"/>
    </xf>
    <xf numFmtId="1" fontId="57" fillId="0" borderId="1" xfId="6" applyNumberFormat="1" applyFont="1" applyBorder="1" applyAlignment="1">
      <alignment horizontal="center" vertical="center"/>
    </xf>
    <xf numFmtId="165" fontId="57" fillId="0" borderId="1" xfId="6" applyFont="1" applyBorder="1" applyAlignment="1">
      <alignment horizontal="left" vertical="center"/>
    </xf>
    <xf numFmtId="165" fontId="39" fillId="0" borderId="1" xfId="0" applyNumberFormat="1" applyFont="1" applyBorder="1"/>
    <xf numFmtId="165" fontId="26" fillId="0" borderId="0" xfId="0" applyNumberFormat="1" applyFont="1"/>
    <xf numFmtId="1" fontId="58" fillId="0" borderId="1" xfId="6" applyNumberFormat="1" applyFont="1" applyBorder="1" applyAlignment="1">
      <alignment horizontal="center"/>
    </xf>
    <xf numFmtId="0" fontId="39" fillId="0" borderId="1" xfId="0" applyFont="1" applyBorder="1" applyAlignment="1">
      <alignment horizontal="left" wrapText="1"/>
    </xf>
    <xf numFmtId="165" fontId="39" fillId="0" borderId="1" xfId="6" applyFont="1" applyFill="1" applyBorder="1"/>
    <xf numFmtId="1" fontId="58" fillId="0" borderId="1" xfId="6" applyNumberFormat="1" applyFont="1" applyBorder="1" applyAlignment="1">
      <alignment horizontal="center" vertical="center"/>
    </xf>
    <xf numFmtId="0" fontId="54" fillId="0" borderId="1" xfId="0" applyFont="1" applyBorder="1" applyAlignment="1">
      <alignment wrapText="1"/>
    </xf>
    <xf numFmtId="0" fontId="39" fillId="0" borderId="1" xfId="0" applyFont="1" applyBorder="1" applyAlignment="1">
      <alignment wrapText="1"/>
    </xf>
    <xf numFmtId="165" fontId="39" fillId="0" borderId="1" xfId="6" applyFont="1" applyBorder="1"/>
    <xf numFmtId="165" fontId="58" fillId="0" borderId="1" xfId="6" applyFont="1" applyBorder="1" applyAlignment="1">
      <alignment horizontal="left" vertical="center"/>
    </xf>
    <xf numFmtId="165" fontId="54" fillId="0" borderId="1" xfId="6" applyFont="1" applyBorder="1"/>
    <xf numFmtId="165" fontId="59" fillId="0" borderId="1" xfId="0" applyNumberFormat="1" applyFont="1" applyBorder="1"/>
    <xf numFmtId="4" fontId="26" fillId="0" borderId="0" xfId="0" applyNumberFormat="1" applyFont="1"/>
    <xf numFmtId="165" fontId="26" fillId="0" borderId="0" xfId="6" applyFont="1"/>
    <xf numFmtId="174" fontId="54" fillId="0" borderId="1" xfId="0" applyNumberFormat="1" applyFont="1" applyBorder="1" applyAlignment="1">
      <alignment horizontal="left" vertical="center" wrapText="1"/>
    </xf>
    <xf numFmtId="0" fontId="39" fillId="24" borderId="1" xfId="0" applyFont="1" applyFill="1" applyBorder="1" applyAlignment="1">
      <alignment wrapText="1"/>
    </xf>
    <xf numFmtId="0" fontId="54" fillId="0" borderId="1" xfId="0" applyFont="1" applyBorder="1" applyAlignment="1">
      <alignment horizontal="left" wrapText="1"/>
    </xf>
    <xf numFmtId="175" fontId="58" fillId="0" borderId="0" xfId="6" applyNumberFormat="1" applyFont="1" applyBorder="1" applyAlignment="1">
      <alignment horizontal="center" vertical="center"/>
    </xf>
    <xf numFmtId="165" fontId="58" fillId="0" borderId="0" xfId="6" applyFont="1" applyBorder="1" applyAlignment="1">
      <alignment vertical="center"/>
    </xf>
    <xf numFmtId="175" fontId="58" fillId="0" borderId="0" xfId="6" applyNumberFormat="1" applyFont="1" applyBorder="1" applyAlignment="1">
      <alignment horizontal="left" vertical="center"/>
    </xf>
    <xf numFmtId="0" fontId="59" fillId="0" borderId="0" xfId="2" applyFont="1"/>
    <xf numFmtId="0" fontId="39" fillId="0" borderId="0" xfId="0" applyFont="1" applyAlignment="1">
      <alignment horizontal="left"/>
    </xf>
    <xf numFmtId="175" fontId="26" fillId="0" borderId="0" xfId="0" applyNumberFormat="1" applyFont="1" applyAlignment="1">
      <alignment horizontal="center"/>
    </xf>
    <xf numFmtId="0" fontId="60" fillId="0" borderId="0" xfId="0" applyFont="1"/>
    <xf numFmtId="0" fontId="59" fillId="0" borderId="0" xfId="0" applyFont="1"/>
    <xf numFmtId="165" fontId="59" fillId="0" borderId="0" xfId="6" applyFont="1" applyBorder="1" applyAlignment="1">
      <alignment horizontal="left" vertical="center"/>
    </xf>
    <xf numFmtId="165" fontId="59" fillId="0" borderId="0" xfId="6" applyFont="1" applyBorder="1" applyAlignment="1">
      <alignment horizontal="center" vertical="center"/>
    </xf>
    <xf numFmtId="0" fontId="59" fillId="0" borderId="0" xfId="0" applyFont="1" applyAlignment="1">
      <alignment horizontal="left"/>
    </xf>
    <xf numFmtId="176" fontId="59" fillId="0" borderId="0" xfId="0" applyNumberFormat="1" applyFont="1" applyAlignment="1">
      <alignment horizontal="right"/>
    </xf>
    <xf numFmtId="0" fontId="60" fillId="0" borderId="0" xfId="0" applyFont="1" applyAlignment="1">
      <alignment horizontal="left"/>
    </xf>
    <xf numFmtId="165" fontId="59" fillId="0" borderId="0" xfId="0" applyNumberFormat="1" applyFont="1"/>
    <xf numFmtId="165" fontId="59" fillId="0" borderId="0" xfId="6" applyFont="1"/>
    <xf numFmtId="0" fontId="59" fillId="0" borderId="0" xfId="0" applyFont="1" applyAlignment="1">
      <alignment horizontal="center"/>
    </xf>
    <xf numFmtId="0" fontId="59" fillId="0" borderId="1" xfId="0" applyFont="1" applyBorder="1" applyAlignment="1">
      <alignment horizontal="center" vertical="center" wrapText="1"/>
    </xf>
    <xf numFmtId="0" fontId="59" fillId="24" borderId="1" xfId="0" applyFont="1" applyFill="1" applyBorder="1" applyAlignment="1">
      <alignment horizontal="center" vertical="center" wrapText="1"/>
    </xf>
    <xf numFmtId="0" fontId="59" fillId="0" borderId="0" xfId="0" applyFont="1" applyAlignment="1">
      <alignment horizontal="center" vertical="center" wrapText="1"/>
    </xf>
    <xf numFmtId="0" fontId="53" fillId="0" borderId="1" xfId="0" applyFont="1" applyBorder="1" applyAlignment="1">
      <alignment vertical="center" wrapText="1"/>
    </xf>
    <xf numFmtId="0" fontId="59" fillId="0" borderId="1" xfId="0" applyFont="1" applyBorder="1" applyAlignment="1">
      <alignment vertical="center" wrapText="1"/>
    </xf>
    <xf numFmtId="0" fontId="59" fillId="24" borderId="1" xfId="0" applyFont="1" applyFill="1" applyBorder="1" applyAlignment="1">
      <alignment horizontal="left" vertical="center" wrapText="1"/>
    </xf>
    <xf numFmtId="0" fontId="53" fillId="24" borderId="1" xfId="0" applyFont="1" applyFill="1" applyBorder="1" applyAlignment="1">
      <alignment horizontal="left" vertical="center" wrapText="1"/>
    </xf>
    <xf numFmtId="0" fontId="53" fillId="0" borderId="1" xfId="0" applyFont="1" applyBorder="1" applyAlignment="1">
      <alignment horizontal="left" vertical="center" wrapText="1"/>
    </xf>
    <xf numFmtId="165" fontId="61" fillId="0" borderId="0" xfId="6" applyFont="1" applyBorder="1" applyAlignment="1">
      <alignment vertical="center"/>
    </xf>
    <xf numFmtId="165" fontId="61" fillId="0" borderId="0" xfId="6" applyFont="1" applyBorder="1" applyAlignment="1">
      <alignment horizontal="center" vertical="center"/>
    </xf>
    <xf numFmtId="0" fontId="59" fillId="0" borderId="0" xfId="0" applyFont="1" applyAlignment="1">
      <alignment vertical="center" wrapText="1"/>
    </xf>
    <xf numFmtId="0" fontId="39" fillId="0" borderId="0" xfId="0" applyFont="1"/>
    <xf numFmtId="177" fontId="59" fillId="0" borderId="0" xfId="6" applyNumberFormat="1" applyFont="1"/>
    <xf numFmtId="167" fontId="59" fillId="0" borderId="0" xfId="6" applyNumberFormat="1" applyFont="1"/>
    <xf numFmtId="165" fontId="61" fillId="0" borderId="0" xfId="6" applyFont="1" applyBorder="1" applyAlignment="1">
      <alignment horizontal="left" vertical="center"/>
    </xf>
    <xf numFmtId="165" fontId="39" fillId="0" borderId="0" xfId="6" applyFont="1" applyFill="1" applyAlignment="1">
      <alignment horizontal="left"/>
    </xf>
    <xf numFmtId="165" fontId="39" fillId="0" borderId="0" xfId="6" applyFont="1" applyFill="1"/>
    <xf numFmtId="0" fontId="39" fillId="0" borderId="0" xfId="8" applyFont="1"/>
    <xf numFmtId="0" fontId="54" fillId="0" borderId="0" xfId="8" applyFont="1"/>
    <xf numFmtId="165" fontId="54" fillId="0" borderId="0" xfId="6" applyFont="1" applyAlignment="1">
      <alignment horizontal="center"/>
    </xf>
    <xf numFmtId="165" fontId="54" fillId="0" borderId="0" xfId="6" applyFont="1" applyFill="1" applyAlignment="1">
      <alignment horizontal="left"/>
    </xf>
    <xf numFmtId="0" fontId="54" fillId="0" borderId="0" xfId="8" applyFont="1" applyAlignment="1">
      <alignment horizontal="center"/>
    </xf>
    <xf numFmtId="176" fontId="39" fillId="0" borderId="0" xfId="8" applyNumberFormat="1" applyFont="1" applyAlignment="1">
      <alignment horizontal="right"/>
    </xf>
    <xf numFmtId="165" fontId="55" fillId="0" borderId="0" xfId="6" applyFont="1" applyAlignment="1">
      <alignment horizontal="left"/>
    </xf>
    <xf numFmtId="165" fontId="62" fillId="0" borderId="0" xfId="6" applyFont="1" applyFill="1" applyAlignment="1">
      <alignment horizontal="center" vertical="center"/>
    </xf>
    <xf numFmtId="0" fontId="23" fillId="0" borderId="0" xfId="8" applyFont="1" applyAlignment="1">
      <alignment horizontal="right"/>
    </xf>
    <xf numFmtId="178" fontId="58" fillId="0" borderId="1" xfId="6" applyNumberFormat="1" applyFont="1" applyFill="1" applyBorder="1" applyAlignment="1">
      <alignment horizontal="center" vertical="center"/>
    </xf>
    <xf numFmtId="165" fontId="54" fillId="0" borderId="1" xfId="6" applyFont="1" applyBorder="1" applyAlignment="1">
      <alignment wrapText="1"/>
    </xf>
    <xf numFmtId="0" fontId="39" fillId="0" borderId="1" xfId="8" applyFont="1" applyBorder="1"/>
    <xf numFmtId="174" fontId="58" fillId="0" borderId="1" xfId="6" applyNumberFormat="1" applyFont="1" applyFill="1" applyBorder="1" applyAlignment="1">
      <alignment horizontal="center" vertical="center"/>
    </xf>
    <xf numFmtId="0" fontId="62" fillId="0" borderId="1" xfId="8" applyFont="1" applyBorder="1"/>
    <xf numFmtId="165" fontId="63" fillId="0" borderId="1" xfId="6" applyFont="1" applyBorder="1"/>
    <xf numFmtId="165" fontId="63" fillId="0" borderId="1" xfId="8" applyNumberFormat="1" applyFont="1" applyBorder="1"/>
    <xf numFmtId="165" fontId="58" fillId="0" borderId="1" xfId="6" applyFont="1" applyFill="1" applyBorder="1" applyAlignment="1">
      <alignment horizontal="center" vertical="center"/>
    </xf>
    <xf numFmtId="175" fontId="39" fillId="0" borderId="1" xfId="6" applyNumberFormat="1" applyFont="1" applyFill="1" applyBorder="1"/>
    <xf numFmtId="175" fontId="39" fillId="0" borderId="1" xfId="8" applyNumberFormat="1" applyFont="1" applyBorder="1" applyAlignment="1">
      <alignment wrapText="1"/>
    </xf>
    <xf numFmtId="165" fontId="39" fillId="0" borderId="1" xfId="6" applyFont="1" applyBorder="1" applyAlignment="1">
      <alignment wrapText="1"/>
    </xf>
    <xf numFmtId="165" fontId="39" fillId="0" borderId="1" xfId="8" applyNumberFormat="1" applyFont="1" applyBorder="1"/>
    <xf numFmtId="4" fontId="39" fillId="0" borderId="1" xfId="9" applyNumberFormat="1" applyFont="1" applyFill="1" applyBorder="1" applyAlignment="1" applyProtection="1"/>
    <xf numFmtId="175" fontId="62" fillId="0" borderId="1" xfId="8" applyNumberFormat="1" applyFont="1" applyBorder="1"/>
    <xf numFmtId="4" fontId="64" fillId="0" borderId="1" xfId="0" applyNumberFormat="1" applyFont="1" applyBorder="1"/>
    <xf numFmtId="175" fontId="39" fillId="0" borderId="1" xfId="10" applyNumberFormat="1" applyFont="1" applyBorder="1" applyAlignment="1">
      <alignment wrapText="1"/>
    </xf>
    <xf numFmtId="174" fontId="57" fillId="0" borderId="1" xfId="6" quotePrefix="1" applyNumberFormat="1" applyFont="1" applyFill="1" applyBorder="1" applyAlignment="1">
      <alignment horizontal="center" vertical="center"/>
    </xf>
    <xf numFmtId="175" fontId="54" fillId="6" borderId="1" xfId="8" applyNumberFormat="1" applyFont="1" applyFill="1" applyBorder="1"/>
    <xf numFmtId="165" fontId="54" fillId="6" borderId="1" xfId="6" applyFont="1" applyFill="1" applyBorder="1"/>
    <xf numFmtId="165" fontId="54" fillId="6" borderId="1" xfId="8" applyNumberFormat="1" applyFont="1" applyFill="1" applyBorder="1"/>
    <xf numFmtId="178" fontId="57" fillId="0" borderId="1" xfId="6" applyNumberFormat="1" applyFont="1" applyFill="1" applyBorder="1" applyAlignment="1">
      <alignment horizontal="center" vertical="center"/>
    </xf>
    <xf numFmtId="175" fontId="54" fillId="0" borderId="1" xfId="6" applyNumberFormat="1" applyFont="1" applyFill="1" applyBorder="1" applyAlignment="1">
      <alignment horizontal="left" vertical="center"/>
    </xf>
    <xf numFmtId="175" fontId="54" fillId="0" borderId="1" xfId="8" applyNumberFormat="1" applyFont="1" applyBorder="1" applyAlignment="1">
      <alignment wrapText="1"/>
    </xf>
    <xf numFmtId="179" fontId="58" fillId="0" borderId="1" xfId="6" applyNumberFormat="1" applyFont="1" applyFill="1" applyBorder="1" applyAlignment="1">
      <alignment horizontal="center" vertical="center"/>
    </xf>
    <xf numFmtId="175" fontId="39" fillId="0" borderId="1" xfId="6" applyNumberFormat="1" applyFont="1" applyFill="1" applyBorder="1" applyAlignment="1">
      <alignment horizontal="left" vertical="center"/>
    </xf>
    <xf numFmtId="175" fontId="39" fillId="0" borderId="1" xfId="8" applyNumberFormat="1" applyFont="1" applyBorder="1"/>
    <xf numFmtId="2" fontId="58" fillId="0" borderId="1" xfId="6" applyNumberFormat="1" applyFont="1" applyFill="1" applyBorder="1" applyAlignment="1">
      <alignment horizontal="center" vertical="center"/>
    </xf>
    <xf numFmtId="174" fontId="57" fillId="6" borderId="1" xfId="6" applyNumberFormat="1" applyFont="1" applyFill="1" applyBorder="1" applyAlignment="1">
      <alignment horizontal="center" vertical="center"/>
    </xf>
    <xf numFmtId="1" fontId="57" fillId="0" borderId="1" xfId="6" applyNumberFormat="1" applyFont="1" applyFill="1" applyBorder="1" applyAlignment="1">
      <alignment horizontal="center" vertical="center"/>
    </xf>
    <xf numFmtId="175" fontId="54" fillId="0" borderId="1" xfId="8" applyNumberFormat="1" applyFont="1" applyBorder="1"/>
    <xf numFmtId="165" fontId="54" fillId="0" borderId="1" xfId="8" applyNumberFormat="1" applyFont="1" applyBorder="1"/>
    <xf numFmtId="174" fontId="58" fillId="6" borderId="1" xfId="6" applyNumberFormat="1" applyFont="1" applyFill="1" applyBorder="1" applyAlignment="1">
      <alignment horizontal="center" vertical="center"/>
    </xf>
    <xf numFmtId="175" fontId="39" fillId="6" borderId="1" xfId="6" applyNumberFormat="1" applyFont="1" applyFill="1" applyBorder="1"/>
    <xf numFmtId="175" fontId="54" fillId="6" borderId="1" xfId="8" applyNumberFormat="1" applyFont="1" applyFill="1" applyBorder="1" applyAlignment="1">
      <alignment wrapText="1"/>
    </xf>
    <xf numFmtId="175" fontId="58" fillId="0" borderId="1" xfId="11" applyNumberFormat="1" applyFont="1" applyFill="1" applyBorder="1" applyAlignment="1">
      <alignment horizontal="left" vertical="center"/>
    </xf>
    <xf numFmtId="165" fontId="58" fillId="0" borderId="1" xfId="6" applyFont="1" applyFill="1" applyBorder="1" applyAlignment="1">
      <alignment horizontal="left" vertical="center"/>
    </xf>
    <xf numFmtId="165" fontId="39" fillId="0" borderId="0" xfId="8" applyNumberFormat="1" applyFont="1"/>
    <xf numFmtId="1" fontId="58" fillId="0" borderId="1" xfId="6" applyNumberFormat="1" applyFont="1" applyFill="1" applyBorder="1" applyAlignment="1">
      <alignment horizontal="center" vertical="center"/>
    </xf>
    <xf numFmtId="165" fontId="39" fillId="0" borderId="0" xfId="6" applyFont="1" applyFill="1" applyBorder="1" applyAlignment="1">
      <alignment horizontal="center"/>
    </xf>
    <xf numFmtId="165" fontId="39" fillId="0" borderId="0" xfId="6" applyFont="1" applyFill="1" applyBorder="1" applyAlignment="1">
      <alignment horizontal="left" vertical="center"/>
    </xf>
    <xf numFmtId="165" fontId="39" fillId="0" borderId="0" xfId="6" applyFont="1" applyFill="1" applyBorder="1"/>
    <xf numFmtId="165" fontId="56" fillId="0" borderId="0" xfId="6" applyFont="1" applyFill="1"/>
    <xf numFmtId="0" fontId="39" fillId="0" borderId="0" xfId="8" applyFont="1" applyAlignment="1">
      <alignment horizontal="center"/>
    </xf>
    <xf numFmtId="165" fontId="39" fillId="0" borderId="0" xfId="6" applyFont="1" applyFill="1" applyAlignment="1">
      <alignment horizontal="left" vertical="center"/>
    </xf>
    <xf numFmtId="165" fontId="58" fillId="0" borderId="0" xfId="6" applyFont="1" applyFill="1" applyAlignment="1">
      <alignment horizontal="left" vertical="center"/>
    </xf>
    <xf numFmtId="0" fontId="55" fillId="0" borderId="0" xfId="0" applyFont="1" applyAlignment="1">
      <alignment horizontal="left"/>
    </xf>
    <xf numFmtId="0" fontId="27" fillId="0" borderId="0" xfId="0" applyFont="1" applyAlignment="1">
      <alignment horizontal="center" vertical="center"/>
    </xf>
    <xf numFmtId="166" fontId="3" fillId="0" borderId="1" xfId="1" applyNumberFormat="1" applyFont="1" applyBorder="1" applyAlignment="1">
      <alignment horizontal="center" vertical="center" wrapText="1"/>
    </xf>
    <xf numFmtId="166" fontId="26" fillId="0" borderId="1" xfId="1" applyNumberFormat="1" applyFont="1" applyBorder="1" applyAlignment="1">
      <alignment horizontal="center" vertical="center" wrapText="1"/>
    </xf>
    <xf numFmtId="166" fontId="27" fillId="0" borderId="1" xfId="1" applyNumberFormat="1" applyFont="1" applyBorder="1"/>
    <xf numFmtId="167" fontId="27" fillId="0" borderId="1" xfId="1" applyNumberFormat="1" applyFont="1" applyBorder="1"/>
    <xf numFmtId="166" fontId="65" fillId="0" borderId="0" xfId="1" applyNumberFormat="1" applyFont="1" applyFill="1"/>
    <xf numFmtId="0" fontId="26" fillId="2" borderId="1" xfId="0" applyFont="1" applyFill="1" applyBorder="1"/>
    <xf numFmtId="166" fontId="66" fillId="0" borderId="0" xfId="1" applyNumberFormat="1" applyFont="1" applyFill="1"/>
    <xf numFmtId="166" fontId="27" fillId="0" borderId="1" xfId="1" applyNumberFormat="1" applyFont="1" applyFill="1" applyBorder="1"/>
    <xf numFmtId="167" fontId="27" fillId="0" borderId="1" xfId="1" applyNumberFormat="1" applyFont="1" applyFill="1" applyBorder="1"/>
    <xf numFmtId="170" fontId="66" fillId="0" borderId="0" xfId="1" applyNumberFormat="1" applyFont="1" applyFill="1"/>
    <xf numFmtId="166" fontId="27" fillId="0" borderId="0" xfId="1" applyNumberFormat="1" applyFont="1"/>
    <xf numFmtId="0" fontId="26" fillId="0" borderId="1" xfId="0" applyFont="1" applyBorder="1" applyAlignment="1">
      <alignment horizontal="center" vertical="center" wrapText="1"/>
    </xf>
    <xf numFmtId="167" fontId="27" fillId="0" borderId="1" xfId="1" applyNumberFormat="1" applyFont="1" applyBorder="1" applyAlignment="1">
      <alignment horizontal="center" vertical="center" wrapText="1"/>
    </xf>
    <xf numFmtId="0" fontId="27" fillId="0" borderId="1" xfId="0" applyFont="1" applyBorder="1" applyAlignment="1">
      <alignment horizontal="center" vertical="center" wrapText="1"/>
    </xf>
    <xf numFmtId="0" fontId="26" fillId="22" borderId="1" xfId="0" applyFont="1" applyFill="1" applyBorder="1"/>
    <xf numFmtId="166" fontId="27" fillId="0" borderId="1" xfId="1" applyNumberFormat="1" applyFont="1" applyBorder="1" applyAlignment="1">
      <alignment horizontal="center" vertical="center"/>
    </xf>
    <xf numFmtId="167" fontId="27" fillId="0" borderId="1" xfId="1" applyNumberFormat="1" applyFont="1" applyBorder="1" applyAlignment="1">
      <alignment horizontal="center" vertical="center"/>
    </xf>
    <xf numFmtId="0" fontId="27" fillId="0" borderId="1" xfId="0" applyFont="1" applyBorder="1" applyAlignment="1">
      <alignment horizontal="center" vertical="center"/>
    </xf>
    <xf numFmtId="173" fontId="3" fillId="0" borderId="0" xfId="0" applyNumberFormat="1" applyFont="1"/>
    <xf numFmtId="173" fontId="5" fillId="0" borderId="0" xfId="0" applyNumberFormat="1" applyFont="1"/>
    <xf numFmtId="166" fontId="3" fillId="2" borderId="1" xfId="1" applyNumberFormat="1" applyFont="1" applyFill="1" applyBorder="1"/>
    <xf numFmtId="167" fontId="3" fillId="2" borderId="1" xfId="1" applyNumberFormat="1" applyFont="1" applyFill="1" applyBorder="1"/>
    <xf numFmtId="166" fontId="3" fillId="0" borderId="1" xfId="1" applyNumberFormat="1" applyFont="1" applyFill="1" applyBorder="1"/>
    <xf numFmtId="167" fontId="3" fillId="0" borderId="1" xfId="1" applyNumberFormat="1" applyFont="1" applyFill="1" applyBorder="1"/>
    <xf numFmtId="0" fontId="3" fillId="0" borderId="1" xfId="0" applyFont="1" applyBorder="1" applyAlignment="1">
      <alignment wrapText="1"/>
    </xf>
    <xf numFmtId="167" fontId="3" fillId="11" borderId="1" xfId="1" quotePrefix="1" applyNumberFormat="1" applyFont="1" applyFill="1" applyBorder="1" applyAlignment="1"/>
    <xf numFmtId="167" fontId="3" fillId="0" borderId="0" xfId="0" applyNumberFormat="1" applyFont="1"/>
    <xf numFmtId="167" fontId="3" fillId="0" borderId="0" xfId="1" applyNumberFormat="1" applyFont="1" applyAlignment="1">
      <alignment horizontal="center" vertical="center" wrapText="1"/>
    </xf>
    <xf numFmtId="0" fontId="3" fillId="22" borderId="0" xfId="0" applyFont="1" applyFill="1"/>
    <xf numFmtId="166" fontId="3" fillId="22" borderId="1" xfId="1" applyNumberFormat="1" applyFont="1" applyFill="1" applyBorder="1"/>
    <xf numFmtId="167" fontId="3" fillId="0" borderId="0" xfId="1" applyNumberFormat="1" applyFont="1" applyAlignment="1">
      <alignment horizontal="center" vertical="center"/>
    </xf>
    <xf numFmtId="0" fontId="5" fillId="0" borderId="1" xfId="0" applyFont="1" applyBorder="1" applyAlignment="1">
      <alignment horizontal="center"/>
    </xf>
    <xf numFmtId="0" fontId="5" fillId="0" borderId="0" xfId="0" applyFont="1" applyAlignment="1">
      <alignment horizontal="center"/>
    </xf>
    <xf numFmtId="167" fontId="5" fillId="0" borderId="0" xfId="1" applyNumberFormat="1" applyFont="1" applyAlignment="1">
      <alignment horizontal="center"/>
    </xf>
    <xf numFmtId="0" fontId="10" fillId="0" borderId="0" xfId="7" applyFont="1" applyAlignment="1" applyProtection="1">
      <alignment horizontal="left"/>
      <protection locked="0"/>
    </xf>
    <xf numFmtId="0" fontId="67" fillId="0" borderId="0" xfId="12"/>
    <xf numFmtId="0" fontId="10" fillId="0" borderId="0" xfId="7" applyFont="1" applyProtection="1">
      <protection locked="0"/>
    </xf>
    <xf numFmtId="0" fontId="9" fillId="0" borderId="0" xfId="7" applyFont="1" applyProtection="1">
      <protection locked="0"/>
    </xf>
    <xf numFmtId="0" fontId="9" fillId="0" borderId="0" xfId="7" applyFont="1" applyAlignment="1" applyProtection="1">
      <alignment horizontal="center"/>
      <protection locked="0"/>
    </xf>
    <xf numFmtId="0" fontId="9" fillId="0" borderId="0" xfId="7" applyFont="1"/>
    <xf numFmtId="0" fontId="9" fillId="0" borderId="0" xfId="7" applyFont="1" applyAlignment="1">
      <alignment horizontal="right"/>
    </xf>
    <xf numFmtId="0" fontId="8" fillId="0" borderId="0" xfId="7" applyFont="1" applyAlignment="1" applyProtection="1">
      <alignment horizontal="center"/>
      <protection locked="0"/>
    </xf>
    <xf numFmtId="0" fontId="13" fillId="0" borderId="0" xfId="7" applyFont="1" applyAlignment="1" applyProtection="1">
      <alignment vertical="center"/>
      <protection locked="0"/>
    </xf>
    <xf numFmtId="0" fontId="10" fillId="0" borderId="0" xfId="7" applyFont="1" applyAlignment="1" applyProtection="1">
      <alignment vertical="center"/>
      <protection locked="0"/>
    </xf>
    <xf numFmtId="0" fontId="13" fillId="0" borderId="0" xfId="7" applyFont="1" applyProtection="1">
      <protection locked="0"/>
    </xf>
    <xf numFmtId="0" fontId="10" fillId="0" borderId="0" xfId="7" applyFont="1"/>
    <xf numFmtId="0" fontId="13" fillId="0" borderId="0" xfId="7" applyFont="1" applyAlignment="1" applyProtection="1">
      <alignment horizontal="center"/>
      <protection locked="0"/>
    </xf>
    <xf numFmtId="0" fontId="10" fillId="0" borderId="0" xfId="7" applyFont="1" applyAlignment="1" applyProtection="1">
      <alignment horizontal="center"/>
      <protection locked="0"/>
    </xf>
    <xf numFmtId="0" fontId="70" fillId="0" borderId="0" xfId="7" applyFont="1" applyAlignment="1">
      <alignment horizontal="center"/>
    </xf>
    <xf numFmtId="0" fontId="16" fillId="0" borderId="0" xfId="7"/>
    <xf numFmtId="0" fontId="10" fillId="0" borderId="0" xfId="7" applyFont="1" applyAlignment="1">
      <alignment horizontal="center"/>
    </xf>
    <xf numFmtId="0" fontId="68" fillId="0" borderId="0" xfId="7" applyFont="1"/>
    <xf numFmtId="0" fontId="13" fillId="0" borderId="0" xfId="7" applyFont="1" applyAlignment="1" applyProtection="1">
      <alignment horizontal="left"/>
      <protection locked="0"/>
    </xf>
    <xf numFmtId="0" fontId="11" fillId="0" borderId="0" xfId="7" applyFont="1" applyProtection="1">
      <protection locked="0"/>
    </xf>
    <xf numFmtId="0" fontId="71" fillId="0" borderId="0" xfId="12" applyFont="1" applyAlignment="1">
      <alignment vertical="center"/>
    </xf>
    <xf numFmtId="0" fontId="8" fillId="0" borderId="0" xfId="7" applyFont="1" applyAlignment="1" applyProtection="1">
      <alignment horizontal="left"/>
      <protection locked="0"/>
    </xf>
    <xf numFmtId="0" fontId="9" fillId="0" borderId="0" xfId="7" applyFont="1" applyAlignment="1">
      <alignment horizontal="center"/>
    </xf>
    <xf numFmtId="0" fontId="71" fillId="0" borderId="0" xfId="12" applyFont="1" applyAlignment="1">
      <alignment horizontal="center" vertical="center"/>
    </xf>
    <xf numFmtId="0" fontId="73" fillId="0" borderId="0" xfId="15" applyFont="1"/>
    <xf numFmtId="0" fontId="73" fillId="0" borderId="0" xfId="7" applyFont="1"/>
    <xf numFmtId="0" fontId="73" fillId="0" borderId="0" xfId="7" applyFont="1" applyProtection="1">
      <protection locked="0"/>
    </xf>
    <xf numFmtId="0" fontId="72" fillId="0" borderId="0" xfId="12" applyFont="1" applyAlignment="1">
      <alignment vertical="center"/>
    </xf>
    <xf numFmtId="0" fontId="74" fillId="0" borderId="0" xfId="7" applyFont="1"/>
    <xf numFmtId="0" fontId="9" fillId="0" borderId="25" xfId="12" applyFont="1" applyBorder="1"/>
    <xf numFmtId="0" fontId="9" fillId="3" borderId="4" xfId="7" applyFont="1" applyFill="1" applyBorder="1" applyAlignment="1">
      <alignment horizontal="center"/>
    </xf>
    <xf numFmtId="0" fontId="9" fillId="0" borderId="25" xfId="7" applyFont="1" applyBorder="1" applyAlignment="1">
      <alignment horizontal="center" vertical="center" wrapText="1"/>
    </xf>
    <xf numFmtId="0" fontId="76" fillId="0" borderId="0" xfId="15" applyFont="1"/>
    <xf numFmtId="0" fontId="10" fillId="0" borderId="0" xfId="15" applyFont="1"/>
    <xf numFmtId="0" fontId="78" fillId="0" borderId="0" xfId="20" applyFont="1"/>
    <xf numFmtId="0" fontId="16" fillId="0" borderId="0" xfId="2"/>
    <xf numFmtId="0" fontId="73" fillId="0" borderId="0" xfId="2" applyFont="1"/>
    <xf numFmtId="0" fontId="9" fillId="0" borderId="2" xfId="7" applyFont="1" applyBorder="1" applyAlignment="1">
      <alignment horizontal="center" vertical="center" wrapText="1"/>
    </xf>
    <xf numFmtId="0" fontId="9" fillId="0" borderId="2" xfId="7" applyFont="1" applyBorder="1"/>
    <xf numFmtId="0" fontId="9" fillId="3" borderId="3" xfId="7" applyFont="1" applyFill="1" applyBorder="1" applyAlignment="1">
      <alignment horizontal="center"/>
    </xf>
    <xf numFmtId="0" fontId="9" fillId="3" borderId="5" xfId="7" applyFont="1" applyFill="1" applyBorder="1" applyAlignment="1">
      <alignment horizontal="center"/>
    </xf>
    <xf numFmtId="0" fontId="11" fillId="0" borderId="0" xfId="2" applyFont="1"/>
    <xf numFmtId="0" fontId="75" fillId="0" borderId="0" xfId="2" applyFont="1" applyAlignment="1">
      <alignment horizontal="center"/>
    </xf>
    <xf numFmtId="0" fontId="76" fillId="0" borderId="0" xfId="2" applyFont="1"/>
    <xf numFmtId="0" fontId="76" fillId="0" borderId="0" xfId="2" applyFont="1" applyAlignment="1">
      <alignment horizontal="center"/>
    </xf>
    <xf numFmtId="0" fontId="76" fillId="0" borderId="0" xfId="2" applyFont="1" applyAlignment="1">
      <alignment horizontal="left" vertical="top" wrapText="1"/>
    </xf>
    <xf numFmtId="0" fontId="76" fillId="0" borderId="0" xfId="2" applyFont="1" applyAlignment="1">
      <alignment horizontal="justify"/>
    </xf>
    <xf numFmtId="0" fontId="12" fillId="0" borderId="0" xfId="2" applyFont="1" applyAlignment="1">
      <alignment horizontal="center"/>
    </xf>
    <xf numFmtId="0" fontId="10" fillId="0" borderId="0" xfId="2" applyFont="1" applyAlignment="1">
      <alignment horizontal="center"/>
    </xf>
    <xf numFmtId="0" fontId="10" fillId="0" borderId="0" xfId="2" applyFont="1" applyAlignment="1">
      <alignment vertical="top" wrapText="1"/>
    </xf>
    <xf numFmtId="0" fontId="10" fillId="0" borderId="0" xfId="2" applyFont="1" applyAlignment="1">
      <alignment wrapText="1"/>
    </xf>
    <xf numFmtId="0" fontId="10" fillId="0" borderId="0" xfId="2" applyFont="1" applyAlignment="1">
      <alignment horizontal="justify"/>
    </xf>
    <xf numFmtId="0" fontId="13" fillId="0" borderId="2" xfId="7" applyFont="1" applyBorder="1" applyAlignment="1" applyProtection="1">
      <alignment horizontal="center" vertical="center"/>
      <protection locked="0"/>
    </xf>
    <xf numFmtId="166" fontId="15" fillId="0" borderId="0" xfId="1" applyNumberFormat="1" applyFont="1"/>
    <xf numFmtId="167" fontId="33" fillId="0" borderId="0" xfId="1" applyNumberFormat="1" applyFont="1"/>
    <xf numFmtId="180" fontId="3" fillId="0" borderId="0" xfId="0" applyNumberFormat="1" applyFont="1"/>
    <xf numFmtId="165" fontId="3" fillId="0" borderId="31" xfId="1" applyFont="1" applyFill="1" applyBorder="1"/>
    <xf numFmtId="0" fontId="53" fillId="0" borderId="1" xfId="0" applyFont="1" applyBorder="1" applyAlignment="1">
      <alignment horizontal="center" vertical="center" wrapText="1"/>
    </xf>
    <xf numFmtId="165" fontId="53" fillId="0" borderId="1" xfId="6" applyFont="1" applyBorder="1" applyAlignment="1">
      <alignment vertical="center" wrapText="1"/>
    </xf>
    <xf numFmtId="165" fontId="59" fillId="0" borderId="1" xfId="6" applyFont="1" applyBorder="1" applyAlignment="1">
      <alignment vertical="center" wrapText="1"/>
    </xf>
    <xf numFmtId="165" fontId="53" fillId="0" borderId="1" xfId="6" applyFont="1" applyFill="1" applyBorder="1" applyAlignment="1">
      <alignment vertical="center" wrapText="1"/>
    </xf>
    <xf numFmtId="165" fontId="59" fillId="0" borderId="0" xfId="6" applyFont="1" applyBorder="1" applyAlignment="1">
      <alignment vertical="center" wrapText="1"/>
    </xf>
    <xf numFmtId="0" fontId="59" fillId="0" borderId="1" xfId="0" applyFont="1" applyBorder="1" applyAlignment="1">
      <alignment horizontal="left" vertical="center" wrapText="1"/>
    </xf>
    <xf numFmtId="165" fontId="59" fillId="0" borderId="1" xfId="6" applyFont="1" applyFill="1" applyBorder="1" applyAlignment="1">
      <alignment vertical="center" wrapText="1"/>
    </xf>
    <xf numFmtId="165" fontId="59" fillId="0" borderId="0" xfId="6" applyFont="1" applyFill="1" applyBorder="1" applyAlignment="1">
      <alignment vertical="center" wrapText="1"/>
    </xf>
    <xf numFmtId="165" fontId="19" fillId="6" borderId="0" xfId="1" applyFont="1" applyFill="1"/>
    <xf numFmtId="165" fontId="41" fillId="20" borderId="1" xfId="1" applyFont="1" applyFill="1" applyBorder="1" applyAlignment="1">
      <alignment horizontal="center" vertical="center" wrapText="1"/>
    </xf>
    <xf numFmtId="0" fontId="14" fillId="0" borderId="0" xfId="8" applyFont="1"/>
    <xf numFmtId="0" fontId="15" fillId="0" borderId="0" xfId="8" applyFont="1"/>
    <xf numFmtId="165" fontId="15" fillId="0" borderId="0" xfId="23" applyFont="1"/>
    <xf numFmtId="165" fontId="15" fillId="0" borderId="0" xfId="23" applyFont="1" applyAlignment="1">
      <alignment vertical="top" wrapText="1"/>
    </xf>
    <xf numFmtId="0" fontId="15" fillId="0" borderId="0" xfId="8" applyFont="1" applyAlignment="1">
      <alignment horizontal="center" vertical="center" wrapText="1"/>
    </xf>
    <xf numFmtId="0" fontId="80" fillId="25" borderId="51" xfId="0" applyFont="1" applyFill="1" applyBorder="1" applyAlignment="1">
      <alignment horizontal="center" vertical="center" wrapText="1"/>
    </xf>
    <xf numFmtId="0" fontId="15" fillId="0" borderId="51" xfId="0" applyFont="1" applyBorder="1" applyAlignment="1">
      <alignment wrapText="1"/>
    </xf>
    <xf numFmtId="165" fontId="15" fillId="0" borderId="51" xfId="1" applyFont="1" applyFill="1" applyBorder="1" applyAlignment="1">
      <alignment wrapText="1"/>
    </xf>
    <xf numFmtId="0" fontId="14" fillId="0" borderId="51" xfId="0" applyFont="1" applyBorder="1" applyAlignment="1">
      <alignment wrapText="1"/>
    </xf>
    <xf numFmtId="165" fontId="14" fillId="0" borderId="51" xfId="1" applyFont="1" applyFill="1" applyBorder="1" applyAlignment="1">
      <alignment wrapText="1"/>
    </xf>
    <xf numFmtId="174" fontId="15" fillId="0" borderId="0" xfId="8" applyNumberFormat="1" applyFont="1" applyAlignment="1">
      <alignment horizontal="left" vertical="center" wrapText="1"/>
    </xf>
    <xf numFmtId="174" fontId="14" fillId="0" borderId="0" xfId="8" applyNumberFormat="1" applyFont="1" applyAlignment="1">
      <alignment horizontal="left" vertical="center" wrapText="1"/>
    </xf>
    <xf numFmtId="180" fontId="15" fillId="0" borderId="0" xfId="8" applyNumberFormat="1" applyFont="1" applyAlignment="1">
      <alignment horizontal="right" vertical="center" wrapText="1"/>
    </xf>
    <xf numFmtId="165" fontId="15" fillId="0" borderId="0" xfId="23" applyFont="1" applyAlignment="1">
      <alignment horizontal="right" vertical="center" wrapText="1"/>
    </xf>
    <xf numFmtId="0" fontId="15" fillId="0" borderId="0" xfId="8" applyFont="1" applyAlignment="1">
      <alignment vertical="top" wrapText="1"/>
    </xf>
    <xf numFmtId="0" fontId="14" fillId="0" borderId="50" xfId="8" applyFont="1" applyBorder="1" applyAlignment="1">
      <alignment horizontal="center" vertical="center" wrapText="1"/>
    </xf>
    <xf numFmtId="165" fontId="14" fillId="0" borderId="50" xfId="23" applyFont="1" applyBorder="1" applyAlignment="1">
      <alignment horizontal="center" vertical="center" wrapText="1"/>
    </xf>
    <xf numFmtId="174" fontId="15" fillId="0" borderId="50" xfId="8" applyNumberFormat="1" applyFont="1" applyBorder="1" applyAlignment="1">
      <alignment horizontal="left" vertical="center" wrapText="1"/>
    </xf>
    <xf numFmtId="180" fontId="15" fillId="0" borderId="50" xfId="8" applyNumberFormat="1" applyFont="1" applyBorder="1" applyAlignment="1">
      <alignment horizontal="right" vertical="center" wrapText="1"/>
    </xf>
    <xf numFmtId="165" fontId="15" fillId="0" borderId="50" xfId="23" applyFont="1" applyBorder="1" applyAlignment="1">
      <alignment horizontal="right" vertical="center" wrapText="1"/>
    </xf>
    <xf numFmtId="174" fontId="14" fillId="0" borderId="50" xfId="8" applyNumberFormat="1" applyFont="1" applyBorder="1" applyAlignment="1">
      <alignment horizontal="left" vertical="center" wrapText="1"/>
    </xf>
    <xf numFmtId="180" fontId="14" fillId="0" borderId="50" xfId="8" applyNumberFormat="1" applyFont="1" applyBorder="1" applyAlignment="1">
      <alignment horizontal="right" vertical="center" wrapText="1"/>
    </xf>
    <xf numFmtId="165" fontId="14" fillId="0" borderId="50" xfId="23" applyFont="1" applyBorder="1" applyAlignment="1">
      <alignment horizontal="right" vertical="center" wrapText="1"/>
    </xf>
    <xf numFmtId="0" fontId="15" fillId="0" borderId="51" xfId="0" applyFont="1" applyBorder="1"/>
    <xf numFmtId="167" fontId="15" fillId="0" borderId="51" xfId="1" applyNumberFormat="1" applyFont="1" applyBorder="1" applyAlignment="1"/>
    <xf numFmtId="0" fontId="80" fillId="26" borderId="51" xfId="0" applyFont="1" applyFill="1" applyBorder="1" applyAlignment="1">
      <alignment horizontal="center" vertical="center" wrapText="1"/>
    </xf>
    <xf numFmtId="165" fontId="15" fillId="0" borderId="51" xfId="1" applyFont="1" applyBorder="1" applyAlignment="1">
      <alignment wrapText="1"/>
    </xf>
    <xf numFmtId="166" fontId="15" fillId="0" borderId="51" xfId="1" applyNumberFormat="1" applyFont="1" applyBorder="1" applyAlignment="1">
      <alignment wrapText="1"/>
    </xf>
    <xf numFmtId="0" fontId="80" fillId="0" borderId="51" xfId="0" applyFont="1" applyBorder="1" applyAlignment="1">
      <alignment horizontal="center" vertical="center" wrapText="1"/>
    </xf>
    <xf numFmtId="166" fontId="15" fillId="0" borderId="51" xfId="1" applyNumberFormat="1" applyFont="1" applyFill="1" applyBorder="1" applyAlignment="1">
      <alignment wrapText="1"/>
    </xf>
    <xf numFmtId="166" fontId="15" fillId="0" borderId="0" xfId="1" applyNumberFormat="1" applyFont="1" applyFill="1" applyBorder="1" applyAlignment="1">
      <alignment wrapText="1"/>
    </xf>
    <xf numFmtId="0" fontId="15" fillId="0" borderId="0" xfId="0" applyFont="1" applyAlignment="1">
      <alignment vertical="center" wrapText="1"/>
    </xf>
    <xf numFmtId="165" fontId="14" fillId="0" borderId="54" xfId="23" applyFont="1" applyBorder="1" applyAlignment="1">
      <alignment horizontal="center" vertical="center" wrapText="1"/>
    </xf>
    <xf numFmtId="165" fontId="15" fillId="0" borderId="53" xfId="23" applyFont="1" applyBorder="1" applyAlignment="1">
      <alignment horizontal="right" vertical="center" wrapText="1"/>
    </xf>
    <xf numFmtId="0" fontId="15" fillId="0" borderId="52" xfId="0" applyFont="1" applyBorder="1"/>
    <xf numFmtId="167" fontId="15" fillId="0" borderId="0" xfId="23" applyNumberFormat="1" applyFont="1"/>
    <xf numFmtId="0" fontId="80" fillId="25" borderId="52" xfId="0" applyFont="1" applyFill="1" applyBorder="1" applyAlignment="1">
      <alignment horizontal="center" vertical="center" wrapText="1"/>
    </xf>
    <xf numFmtId="0" fontId="15" fillId="0" borderId="52" xfId="0" applyFont="1" applyBorder="1" applyAlignment="1">
      <alignment horizontal="center" wrapText="1"/>
    </xf>
    <xf numFmtId="165" fontId="15" fillId="0" borderId="0" xfId="23" applyFont="1" applyAlignment="1">
      <alignment horizontal="center" vertical="center" wrapText="1"/>
    </xf>
    <xf numFmtId="167" fontId="15" fillId="0" borderId="0" xfId="23" applyNumberFormat="1" applyFont="1" applyAlignment="1">
      <alignment horizontal="center" vertical="center" wrapText="1"/>
    </xf>
    <xf numFmtId="0" fontId="15" fillId="0" borderId="52" xfId="0" applyFont="1" applyBorder="1" applyAlignment="1">
      <alignment horizontal="left" wrapText="1"/>
    </xf>
    <xf numFmtId="165" fontId="15" fillId="0" borderId="52" xfId="1" applyFont="1" applyBorder="1" applyAlignment="1">
      <alignment horizontal="left" wrapText="1"/>
    </xf>
    <xf numFmtId="165" fontId="15" fillId="0" borderId="0" xfId="8" applyNumberFormat="1" applyFont="1"/>
    <xf numFmtId="0" fontId="26" fillId="0" borderId="0" xfId="0" applyFont="1" applyAlignment="1">
      <alignment horizontal="center" vertical="center"/>
    </xf>
    <xf numFmtId="0" fontId="3" fillId="0" borderId="0" xfId="0" applyFont="1" applyAlignment="1">
      <alignment horizontal="center" vertical="center"/>
    </xf>
    <xf numFmtId="165" fontId="27" fillId="19" borderId="1" xfId="1" applyFont="1" applyFill="1" applyBorder="1" applyAlignment="1">
      <alignment horizontal="center"/>
    </xf>
    <xf numFmtId="165" fontId="26" fillId="0" borderId="49" xfId="1" applyFont="1" applyFill="1" applyBorder="1" applyAlignment="1">
      <alignment horizontal="center" vertical="center" wrapText="1"/>
    </xf>
    <xf numFmtId="165" fontId="26" fillId="0" borderId="48" xfId="1" applyFont="1" applyFill="1" applyBorder="1" applyAlignment="1">
      <alignment horizontal="center" vertical="center" wrapText="1"/>
    </xf>
    <xf numFmtId="165" fontId="26" fillId="0" borderId="27" xfId="1" applyFont="1" applyFill="1" applyBorder="1" applyAlignment="1">
      <alignment horizontal="center" vertical="center" wrapText="1"/>
    </xf>
    <xf numFmtId="165" fontId="26" fillId="0" borderId="32" xfId="1" applyFont="1" applyFill="1" applyBorder="1" applyAlignment="1">
      <alignment horizontal="center" vertical="center" wrapText="1"/>
    </xf>
    <xf numFmtId="0" fontId="27" fillId="0" borderId="0" xfId="0" applyFont="1" applyAlignment="1">
      <alignment horizontal="center" vertical="center"/>
    </xf>
    <xf numFmtId="0" fontId="27" fillId="0" borderId="30" xfId="0" applyFont="1" applyBorder="1" applyAlignment="1">
      <alignment horizontal="center" vertical="center"/>
    </xf>
    <xf numFmtId="0" fontId="27" fillId="19" borderId="1" xfId="0" applyFont="1" applyFill="1" applyBorder="1" applyAlignment="1">
      <alignment horizontal="center" vertical="center"/>
    </xf>
    <xf numFmtId="165" fontId="26" fillId="8" borderId="49" xfId="1" applyFont="1" applyFill="1" applyBorder="1" applyAlignment="1">
      <alignment horizontal="center" vertical="center" wrapText="1"/>
    </xf>
    <xf numFmtId="0" fontId="9" fillId="0" borderId="3" xfId="7" applyFont="1" applyBorder="1" applyAlignment="1">
      <alignment horizontal="center" vertical="center" wrapText="1"/>
    </xf>
    <xf numFmtId="0" fontId="9" fillId="0" borderId="5" xfId="7" applyFont="1" applyBorder="1" applyAlignment="1">
      <alignment horizontal="center" vertical="center" wrapText="1"/>
    </xf>
    <xf numFmtId="0" fontId="9" fillId="0" borderId="3" xfId="7" applyFont="1" applyBorder="1" applyAlignment="1">
      <alignment horizontal="center"/>
    </xf>
    <xf numFmtId="0" fontId="9" fillId="0" borderId="4" xfId="7" applyFont="1" applyBorder="1" applyAlignment="1">
      <alignment horizontal="center"/>
    </xf>
    <xf numFmtId="0" fontId="9" fillId="0" borderId="5" xfId="7" applyFont="1" applyBorder="1" applyAlignment="1">
      <alignment horizontal="center"/>
    </xf>
    <xf numFmtId="0" fontId="9" fillId="0" borderId="4" xfId="7" applyFont="1" applyBorder="1" applyAlignment="1">
      <alignment horizontal="center" vertical="center" wrapText="1"/>
    </xf>
    <xf numFmtId="0" fontId="10" fillId="0" borderId="0" xfId="7" applyFont="1" applyAlignment="1" applyProtection="1">
      <alignment horizontal="left"/>
      <protection locked="0"/>
    </xf>
    <xf numFmtId="0" fontId="73" fillId="0" borderId="0" xfId="7" applyFont="1" applyAlignment="1">
      <alignment horizontal="center"/>
    </xf>
    <xf numFmtId="0" fontId="73" fillId="0" borderId="0" xfId="7" applyFont="1" applyAlignment="1" applyProtection="1">
      <alignment horizontal="center"/>
      <protection locked="0"/>
    </xf>
    <xf numFmtId="0" fontId="73" fillId="0" borderId="0" xfId="2" applyFont="1" applyAlignment="1">
      <alignment horizontal="center"/>
    </xf>
    <xf numFmtId="0" fontId="10" fillId="0" borderId="0" xfId="2" applyFont="1" applyAlignment="1">
      <alignment vertical="top" wrapText="1"/>
    </xf>
    <xf numFmtId="0" fontId="10" fillId="0" borderId="0" xfId="2" applyFont="1"/>
    <xf numFmtId="0" fontId="11" fillId="0" borderId="0" xfId="7" applyFont="1" applyAlignment="1">
      <alignment horizontal="center" vertical="center"/>
    </xf>
    <xf numFmtId="0" fontId="48" fillId="0" borderId="0" xfId="0" applyFont="1" applyAlignment="1">
      <alignment horizontal="center"/>
    </xf>
    <xf numFmtId="0" fontId="48" fillId="20" borderId="1" xfId="0" applyFont="1" applyFill="1" applyBorder="1" applyAlignment="1">
      <alignment horizontal="center" vertical="center" wrapText="1"/>
    </xf>
    <xf numFmtId="0" fontId="48" fillId="20" borderId="1" xfId="0" applyFont="1" applyFill="1" applyBorder="1" applyAlignment="1">
      <alignment horizontal="center" vertical="center"/>
    </xf>
    <xf numFmtId="165" fontId="48" fillId="20" borderId="1" xfId="1" applyFont="1" applyFill="1" applyBorder="1" applyAlignment="1">
      <alignment horizontal="center" vertical="center"/>
    </xf>
    <xf numFmtId="0" fontId="47" fillId="0" borderId="0" xfId="0" applyFont="1" applyAlignment="1">
      <alignment horizontal="center"/>
    </xf>
    <xf numFmtId="0" fontId="55" fillId="0" borderId="0" xfId="0" applyFont="1" applyAlignment="1">
      <alignment horizontal="left"/>
    </xf>
    <xf numFmtId="175" fontId="54" fillId="20" borderId="1" xfId="6" applyNumberFormat="1" applyFont="1" applyFill="1" applyBorder="1" applyAlignment="1">
      <alignment horizontal="center" vertical="top" wrapText="1"/>
    </xf>
    <xf numFmtId="0" fontId="54" fillId="20" borderId="1" xfId="0" applyFont="1" applyFill="1" applyBorder="1" applyAlignment="1">
      <alignment horizontal="center" vertical="center" wrapText="1"/>
    </xf>
    <xf numFmtId="165" fontId="54" fillId="20" borderId="1" xfId="6" applyFont="1" applyFill="1" applyBorder="1" applyAlignment="1">
      <alignment horizontal="center" vertical="center" wrapText="1"/>
    </xf>
    <xf numFmtId="0" fontId="58" fillId="0" borderId="0" xfId="6" applyNumberFormat="1" applyFont="1" applyAlignment="1">
      <alignment horizontal="center" vertical="center"/>
    </xf>
    <xf numFmtId="0" fontId="59" fillId="0" borderId="0" xfId="0" applyFont="1" applyAlignment="1">
      <alignment horizontal="center"/>
    </xf>
    <xf numFmtId="0" fontId="53" fillId="0" borderId="0" xfId="0" applyFont="1" applyAlignment="1">
      <alignment horizontal="center"/>
    </xf>
    <xf numFmtId="0" fontId="59" fillId="0" borderId="0" xfId="0" applyFont="1" applyAlignment="1">
      <alignment horizontal="left"/>
    </xf>
    <xf numFmtId="165" fontId="54" fillId="0" borderId="1" xfId="6" applyFont="1" applyFill="1" applyBorder="1" applyAlignment="1">
      <alignment horizontal="center" vertical="center" wrapText="1"/>
    </xf>
    <xf numFmtId="0" fontId="54" fillId="0" borderId="1" xfId="8" applyFont="1" applyBorder="1" applyAlignment="1">
      <alignment wrapText="1"/>
    </xf>
    <xf numFmtId="0" fontId="55" fillId="0" borderId="0" xfId="8" applyFont="1" applyAlignment="1">
      <alignment horizontal="left"/>
    </xf>
    <xf numFmtId="0" fontId="15" fillId="0" borderId="0" xfId="8" applyFont="1"/>
    <xf numFmtId="165" fontId="15" fillId="0" borderId="0" xfId="23" applyFont="1" applyAlignment="1">
      <alignment horizontal="center"/>
    </xf>
    <xf numFmtId="165" fontId="15" fillId="0" borderId="0" xfId="23" applyFont="1" applyAlignment="1">
      <alignment horizontal="center" vertical="top" wrapText="1"/>
    </xf>
    <xf numFmtId="0" fontId="3" fillId="0" borderId="22" xfId="0" applyFont="1" applyBorder="1" applyAlignment="1">
      <alignment horizontal="center" vertical="center"/>
    </xf>
    <xf numFmtId="0" fontId="3" fillId="0" borderId="24" xfId="0" applyFont="1" applyBorder="1" applyAlignment="1">
      <alignment horizontal="center" vertical="center"/>
    </xf>
    <xf numFmtId="166" fontId="26" fillId="0" borderId="1" xfId="1" applyNumberFormat="1" applyFont="1" applyBorder="1" applyAlignment="1">
      <alignment horizontal="center" vertical="center"/>
    </xf>
    <xf numFmtId="166" fontId="27" fillId="0" borderId="1" xfId="1" applyNumberFormat="1" applyFont="1" applyBorder="1" applyAlignment="1">
      <alignment horizontal="center" vertical="center" wrapText="1"/>
    </xf>
    <xf numFmtId="166" fontId="27" fillId="12" borderId="1" xfId="1" applyNumberFormat="1" applyFont="1" applyFill="1" applyBorder="1" applyAlignment="1">
      <alignment horizontal="center" vertical="center"/>
    </xf>
    <xf numFmtId="166" fontId="3" fillId="0" borderId="8" xfId="1" applyNumberFormat="1" applyFont="1" applyBorder="1" applyAlignment="1">
      <alignment horizontal="center" vertical="center" wrapText="1"/>
    </xf>
    <xf numFmtId="166" fontId="3" fillId="0" borderId="27" xfId="1" applyNumberFormat="1" applyFont="1" applyBorder="1" applyAlignment="1">
      <alignment horizontal="center" vertical="center" wrapText="1"/>
    </xf>
    <xf numFmtId="165" fontId="3" fillId="0" borderId="9" xfId="1" applyFont="1" applyBorder="1" applyAlignment="1">
      <alignment horizontal="center" vertical="center"/>
    </xf>
    <xf numFmtId="165" fontId="3" fillId="0" borderId="18" xfId="1" applyFont="1" applyBorder="1" applyAlignment="1">
      <alignment horizontal="center" vertical="center"/>
    </xf>
    <xf numFmtId="0" fontId="3" fillId="0" borderId="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165" fontId="3" fillId="0" borderId="1" xfId="1" applyFont="1" applyBorder="1" applyAlignment="1">
      <alignment horizontal="center" vertical="center"/>
    </xf>
    <xf numFmtId="166" fontId="3" fillId="0" borderId="1" xfId="1" applyNumberFormat="1" applyFont="1" applyBorder="1" applyAlignment="1">
      <alignment horizontal="center" vertical="center" wrapText="1"/>
    </xf>
    <xf numFmtId="166" fontId="26" fillId="0" borderId="1" xfId="1"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12" borderId="1" xfId="0" applyFont="1" applyFill="1" applyBorder="1" applyAlignment="1">
      <alignment horizontal="left" vertical="center"/>
    </xf>
    <xf numFmtId="0" fontId="3" fillId="0" borderId="1" xfId="0" applyFont="1" applyBorder="1" applyAlignment="1">
      <alignment horizontal="center" vertical="center"/>
    </xf>
    <xf numFmtId="166" fontId="26" fillId="0" borderId="17" xfId="1" applyNumberFormat="1" applyFont="1" applyBorder="1" applyAlignment="1">
      <alignment horizontal="center" vertical="center" wrapText="1"/>
    </xf>
    <xf numFmtId="166" fontId="26" fillId="0" borderId="28" xfId="1" applyNumberFormat="1" applyFont="1" applyBorder="1" applyAlignment="1">
      <alignment horizontal="center" vertical="center" wrapText="1"/>
    </xf>
    <xf numFmtId="166" fontId="27" fillId="0" borderId="11" xfId="1" applyNumberFormat="1" applyFont="1" applyBorder="1" applyAlignment="1">
      <alignment horizontal="center" vertical="center" wrapText="1"/>
    </xf>
    <xf numFmtId="166" fontId="27" fillId="0" borderId="12" xfId="1" applyNumberFormat="1" applyFont="1" applyBorder="1" applyAlignment="1">
      <alignment horizontal="center" vertical="center" wrapText="1"/>
    </xf>
    <xf numFmtId="166" fontId="26" fillId="0" borderId="8" xfId="1" applyNumberFormat="1" applyFont="1" applyBorder="1" applyAlignment="1">
      <alignment horizontal="center" vertical="center" wrapText="1"/>
    </xf>
    <xf numFmtId="166" fontId="26" fillId="0" borderId="27" xfId="1" applyNumberFormat="1" applyFont="1" applyBorder="1" applyAlignment="1">
      <alignment horizontal="center" vertical="center" wrapText="1"/>
    </xf>
    <xf numFmtId="166" fontId="26" fillId="0" borderId="8" xfId="1" applyNumberFormat="1" applyFont="1" applyBorder="1" applyAlignment="1">
      <alignment horizontal="center" vertical="center"/>
    </xf>
    <xf numFmtId="166" fontId="26" fillId="0" borderId="27" xfId="1" applyNumberFormat="1" applyFont="1" applyBorder="1" applyAlignment="1">
      <alignment horizontal="center" vertical="center"/>
    </xf>
    <xf numFmtId="166" fontId="27" fillId="0" borderId="10" xfId="1" applyNumberFormat="1" applyFont="1" applyBorder="1" applyAlignment="1">
      <alignment horizontal="center" vertical="center" wrapText="1"/>
    </xf>
    <xf numFmtId="166" fontId="27" fillId="0" borderId="29" xfId="1" applyNumberFormat="1" applyFont="1" applyBorder="1" applyAlignment="1">
      <alignment horizontal="center" vertical="center" wrapText="1"/>
    </xf>
    <xf numFmtId="165" fontId="20" fillId="0" borderId="6" xfId="1" applyFont="1" applyBorder="1" applyAlignment="1">
      <alignment horizontal="center" vertical="center"/>
    </xf>
    <xf numFmtId="165" fontId="20" fillId="0" borderId="35" xfId="1" applyFont="1" applyBorder="1" applyAlignment="1">
      <alignment horizontal="center" vertical="center"/>
    </xf>
    <xf numFmtId="165" fontId="20" fillId="0" borderId="7" xfId="1" applyFont="1" applyBorder="1" applyAlignment="1">
      <alignment horizontal="center" vertical="center"/>
    </xf>
    <xf numFmtId="166" fontId="20" fillId="0" borderId="36" xfId="1" applyNumberFormat="1" applyFont="1" applyBorder="1" applyAlignment="1">
      <alignment horizontal="center" vertical="center"/>
    </xf>
    <xf numFmtId="166" fontId="20" fillId="0" borderId="31" xfId="1" applyNumberFormat="1" applyFont="1" applyBorder="1" applyAlignment="1">
      <alignment horizontal="center" vertical="center"/>
    </xf>
    <xf numFmtId="0" fontId="23" fillId="0" borderId="3" xfId="3" applyFont="1" applyBorder="1" applyAlignment="1">
      <alignment horizontal="right"/>
    </xf>
    <xf numFmtId="0" fontId="23" fillId="0" borderId="4" xfId="3" applyFont="1" applyBorder="1" applyAlignment="1">
      <alignment horizontal="right"/>
    </xf>
    <xf numFmtId="0" fontId="23" fillId="0" borderId="5" xfId="3" applyFont="1" applyBorder="1" applyAlignment="1">
      <alignment horizontal="right"/>
    </xf>
    <xf numFmtId="0" fontId="19" fillId="17" borderId="15" xfId="3" applyFont="1" applyFill="1" applyBorder="1" applyAlignment="1">
      <alignment horizontal="center" vertical="center" wrapText="1"/>
    </xf>
    <xf numFmtId="0" fontId="19" fillId="17" borderId="13" xfId="3" applyFont="1" applyFill="1" applyBorder="1" applyAlignment="1">
      <alignment horizontal="center" vertical="center" wrapText="1"/>
    </xf>
    <xf numFmtId="0" fontId="19" fillId="17" borderId="3" xfId="3" applyFont="1" applyFill="1" applyBorder="1" applyAlignment="1">
      <alignment horizontal="center" vertical="center" wrapText="1"/>
    </xf>
    <xf numFmtId="0" fontId="19" fillId="17" borderId="4" xfId="3" applyFont="1" applyFill="1" applyBorder="1" applyAlignment="1">
      <alignment horizontal="center" vertical="center" wrapText="1"/>
    </xf>
    <xf numFmtId="0" fontId="19" fillId="17" borderId="5" xfId="3" applyFont="1" applyFill="1" applyBorder="1" applyAlignment="1">
      <alignment horizontal="center" vertical="center" wrapText="1"/>
    </xf>
    <xf numFmtId="0" fontId="17" fillId="14" borderId="0" xfId="3" applyFont="1" applyFill="1" applyAlignment="1">
      <alignment horizontal="center"/>
    </xf>
    <xf numFmtId="0" fontId="30" fillId="3" borderId="23" xfId="3" applyFont="1" applyFill="1" applyBorder="1" applyAlignment="1">
      <alignment horizontal="center"/>
    </xf>
    <xf numFmtId="0" fontId="32" fillId="3" borderId="23" xfId="3" applyFont="1" applyFill="1" applyBorder="1" applyAlignment="1">
      <alignment horizont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3" fillId="0" borderId="11" xfId="0" applyFont="1" applyBorder="1" applyAlignment="1">
      <alignment horizontal="center" vertical="center"/>
    </xf>
    <xf numFmtId="0" fontId="43" fillId="0" borderId="12" xfId="0" applyFont="1" applyBorder="1" applyAlignment="1">
      <alignment horizontal="center" vertical="center"/>
    </xf>
    <xf numFmtId="166" fontId="3" fillId="0" borderId="42" xfId="0" applyNumberFormat="1" applyFont="1" applyBorder="1" applyAlignment="1">
      <alignment horizontal="center" vertical="center"/>
    </xf>
    <xf numFmtId="166" fontId="3" fillId="0" borderId="32" xfId="0" applyNumberFormat="1" applyFont="1" applyBorder="1" applyAlignment="1">
      <alignment horizontal="center" vertical="center"/>
    </xf>
    <xf numFmtId="166" fontId="3" fillId="0" borderId="45" xfId="0" applyNumberFormat="1" applyFont="1" applyBorder="1" applyAlignment="1">
      <alignment horizontal="center" vertical="center"/>
    </xf>
  </cellXfs>
  <cellStyles count="70">
    <cellStyle name="Comma [0] 2" xfId="44" xr:uid="{D7BB3109-A9E6-49FB-817D-170DD0EC4091}"/>
    <cellStyle name="Comma 10" xfId="51" xr:uid="{662DFE83-E05A-42F8-8982-7234F46C0970}"/>
    <cellStyle name="Comma 100 2 2" xfId="23" xr:uid="{F8B9AA38-54CB-44D1-AFF1-38D7C8AE19AC}"/>
    <cellStyle name="Comma 11" xfId="52" xr:uid="{7F164817-BB53-4FF6-A707-CE42C12D79D1}"/>
    <cellStyle name="Comma 12" xfId="21" xr:uid="{5F2C890A-0758-4BD5-824B-E73061F5007B}"/>
    <cellStyle name="Comma 13" xfId="53" xr:uid="{0EB578E7-076B-425E-B535-493B8A1671CF}"/>
    <cellStyle name="Comma 14" xfId="54" xr:uid="{A3254BC1-D183-4BF1-86B8-CCF27BFC0A1E}"/>
    <cellStyle name="Comma 15" xfId="55" xr:uid="{20C26CA3-4D1E-4BA1-94BC-AD846D781FF3}"/>
    <cellStyle name="Comma 16" xfId="56" xr:uid="{3180B62B-FF54-42D7-B060-7CDF998D80C2}"/>
    <cellStyle name="Comma 17" xfId="57" xr:uid="{A71DBD8A-4F95-4FF9-B2EA-B0FF5A7D25B9}"/>
    <cellStyle name="Comma 2" xfId="13" xr:uid="{0E9B0329-DBC4-43C5-9E4C-A40245300B45}"/>
    <cellStyle name="Comma 2 10" xfId="6" xr:uid="{D1EFA4DC-E9DB-40CB-A607-4E5F1DE648ED}"/>
    <cellStyle name="Comma 3" xfId="14" xr:uid="{9F16E272-9928-4E5A-883B-57410B402009}"/>
    <cellStyle name="Comma 3 15" xfId="11" xr:uid="{87712C50-1D65-4D36-B775-7E812DCB0757}"/>
    <cellStyle name="Comma 3 2" xfId="27" xr:uid="{1A515A58-F88B-41B2-9CBF-BB0D367D4B48}"/>
    <cellStyle name="Comma 4" xfId="45" xr:uid="{D97067BB-D7A1-4BAC-ADEA-EF80DB913CB7}"/>
    <cellStyle name="Comma 5" xfId="46" xr:uid="{78A4EF72-C908-4997-BA04-D4C43C38E21E}"/>
    <cellStyle name="Comma 5 2" xfId="5" xr:uid="{9F509C12-C18F-4FBB-9265-AB69B5EE5022}"/>
    <cellStyle name="Comma 5 3" xfId="19" xr:uid="{9E673BA6-9B18-4D3D-8894-1F6769B4DC71}"/>
    <cellStyle name="Comma 5 3 2" xfId="30" xr:uid="{11A0D2E0-0D95-47A1-A8AC-44845F9099FE}"/>
    <cellStyle name="Comma 5 3 2 2" xfId="63" xr:uid="{0B39A42B-D03E-4906-AAF1-131458EB3ED9}"/>
    <cellStyle name="Comma 5 3 2 3" xfId="40" xr:uid="{AC2E339E-41BA-438F-B220-659F6691DA24}"/>
    <cellStyle name="Comma 5 3 3" xfId="59" xr:uid="{719DDB88-7892-44EA-9CF6-FEDDA263CCDD}"/>
    <cellStyle name="Comma 5 3 4" xfId="36" xr:uid="{3CE52D6A-525C-4348-8467-38A652CE042E}"/>
    <cellStyle name="Comma 6" xfId="47" xr:uid="{B3594A85-0004-49F0-A12A-0775758E28FD}"/>
    <cellStyle name="Comma 7" xfId="48" xr:uid="{975B4C5D-B671-4124-8D0A-F97355613FF9}"/>
    <cellStyle name="Comma 8" xfId="49" xr:uid="{18EF4589-BC13-4A83-B6F8-575AC83BE4CC}"/>
    <cellStyle name="Comma 8 10" xfId="17" xr:uid="{4F7ECD4A-2D96-4BA3-B76D-CA81CCD676C0}"/>
    <cellStyle name="Comma 9" xfId="50" xr:uid="{AF2C8CF6-A03B-4A0E-A37F-1AD45A248B5C}"/>
    <cellStyle name="Currency 2" xfId="28" xr:uid="{73D540AA-D4A4-4E24-9C36-C016097FD593}"/>
    <cellStyle name="Currency 4" xfId="16" xr:uid="{95CCBF35-C650-4BA5-AB8D-98F5C2332D2A}"/>
    <cellStyle name="Hyperlink 5" xfId="26" xr:uid="{84674F3F-5A79-402D-9CBB-F2308A347539}"/>
    <cellStyle name="Normal 10 2" xfId="8" xr:uid="{8211FE44-3955-48FB-BA97-782E0A81DF3E}"/>
    <cellStyle name="Normal 13" xfId="68" xr:uid="{1CCECBDA-DE20-4F18-89E4-053A05F4DC3C}"/>
    <cellStyle name="Normal 15 4" xfId="22" xr:uid="{97F954FF-DA96-466C-929B-8CC0654E15D5}"/>
    <cellStyle name="Normal 15 4 2" xfId="32" xr:uid="{FAA34E24-FFF5-46A7-A84D-54B4BB5CCC46}"/>
    <cellStyle name="Normal 15 4 2 2" xfId="65" xr:uid="{9767DF49-E205-4E48-A912-6DEBD1683AB7}"/>
    <cellStyle name="Normal 15 4 2 3" xfId="42" xr:uid="{0399F163-3DA3-4F2D-9A08-BFB4CDB518E7}"/>
    <cellStyle name="Normal 15 4 3" xfId="61" xr:uid="{718566A6-35C4-42A7-9C26-1BD34094C261}"/>
    <cellStyle name="Normal 15 4 4" xfId="38" xr:uid="{F6910910-F658-4EE2-B76D-DC2E93AAF251}"/>
    <cellStyle name="Normal 2" xfId="15" xr:uid="{3F5F0C78-2F60-42C8-A800-B360FBBD8BA7}"/>
    <cellStyle name="Normal 2 2" xfId="2" xr:uid="{76030F12-0F48-43D3-A48C-6B3F1CDFF134}"/>
    <cellStyle name="Normal 3" xfId="33" xr:uid="{FC552D75-7082-42B9-9EDE-872549E2BFB6}"/>
    <cellStyle name="Normal 3 2" xfId="34" xr:uid="{782161F1-7149-4B11-B181-FEE3CD5139B3}"/>
    <cellStyle name="Normal 3 3" xfId="66" xr:uid="{B88576FC-D99D-4BDA-B755-7F8CC58B4CB2}"/>
    <cellStyle name="Normal 3 4" xfId="43" xr:uid="{7C9C24F7-32C7-4B8A-AC8B-3AC5F16BC054}"/>
    <cellStyle name="Normal 4" xfId="18" xr:uid="{B63F8BD1-81BC-4DFE-A7F5-4C9541B85606}"/>
    <cellStyle name="Normal 4 2" xfId="29" xr:uid="{C05C0461-C8A8-416A-A388-6C09DA1B4E81}"/>
    <cellStyle name="Normal 4 2 2" xfId="62" xr:uid="{977810DA-40E8-42C2-A44A-0018BD584729}"/>
    <cellStyle name="Normal 4 2 3" xfId="39" xr:uid="{90947101-CE5C-428E-B7A9-AFC6D15E6F19}"/>
    <cellStyle name="Normal 4 3" xfId="20" xr:uid="{CDED192E-8357-4AEA-BEF5-55BF4F1C2991}"/>
    <cellStyle name="Normal 4 3 2" xfId="31" xr:uid="{F5BE69F9-22D1-45CA-BA97-D0CC24F8F9B2}"/>
    <cellStyle name="Normal 4 3 2 2" xfId="64" xr:uid="{BDAACC97-4303-4D65-8ECC-B31661EC8088}"/>
    <cellStyle name="Normal 4 3 2 3" xfId="41" xr:uid="{08C392C2-35CA-4A25-A02A-D7EC99BFD60D}"/>
    <cellStyle name="Normal 4 3 3" xfId="60" xr:uid="{A851F140-79AE-4D67-B633-DE25E98D4CB7}"/>
    <cellStyle name="Normal 4 3 4" xfId="37" xr:uid="{264E51B2-393F-4AB1-8BD1-273F4EBA0F64}"/>
    <cellStyle name="Normal 4 4" xfId="58" xr:uid="{49CA0A9C-4CF6-432C-A7F2-50F046CF376C}"/>
    <cellStyle name="Normal 4 5" xfId="35" xr:uid="{A7B765C0-3762-4BAA-9CA9-2CCCBF9074EE}"/>
    <cellStyle name="Normal 5" xfId="9" xr:uid="{3E803654-5854-4FAF-A525-5646DA4A12FD}"/>
    <cellStyle name="Normal 6" xfId="67" xr:uid="{AB728221-9981-40EB-AAD8-64576781C938}"/>
    <cellStyle name="Normal 7" xfId="69" xr:uid="{5C3C0408-52B5-45E4-85CE-C785BDF269B9}"/>
    <cellStyle name="Normal 77" xfId="10" xr:uid="{273FF46D-E482-46C7-A67D-454FD68BB79F}"/>
    <cellStyle name="Normal 8" xfId="12" xr:uid="{3719CFFD-F8E5-4CEC-94D1-B843201B507E}"/>
    <cellStyle name="Normal 87" xfId="24" xr:uid="{86CCF55E-563B-4D28-AFAA-AB1C96BF41AC}"/>
    <cellStyle name="Normal 88" xfId="25" xr:uid="{92D3ED37-5329-4B09-8E29-45A9BFCEE278}"/>
    <cellStyle name="Normal_Altai Accounting" xfId="7" xr:uid="{F9E3FBB1-816E-432E-AB02-69B45E019A96}"/>
    <cellStyle name="쉼표" xfId="1" builtinId="3"/>
    <cellStyle name="쉼표 2" xfId="4" xr:uid="{C6C431EB-07D6-4876-8F3C-E0D9EE4A5FBF}"/>
    <cellStyle name="표준" xfId="0" builtinId="0"/>
    <cellStyle name="표준 2" xfId="3" xr:uid="{32580244-F809-485E-BE1C-B5DDA7C195DA}"/>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99FF99"/>
      <color rgb="FF99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782955</xdr:colOff>
      <xdr:row>16</xdr:row>
      <xdr:rowOff>15239</xdr:rowOff>
    </xdr:from>
    <xdr:to>
      <xdr:col>4</xdr:col>
      <xdr:colOff>213360</xdr:colOff>
      <xdr:row>19</xdr:row>
      <xdr:rowOff>87630</xdr:rowOff>
    </xdr:to>
    <xdr:sp macro="" textlink="">
      <xdr:nvSpPr>
        <xdr:cNvPr id="2" name="Rectangular Callout 3">
          <a:extLst>
            <a:ext uri="{FF2B5EF4-FFF2-40B4-BE49-F238E27FC236}">
              <a16:creationId xmlns:a16="http://schemas.microsoft.com/office/drawing/2014/main" id="{8FBEB1F8-0860-4C7E-8B8C-C10CF5F4A025}"/>
            </a:ext>
          </a:extLst>
        </xdr:cNvPr>
        <xdr:cNvSpPr/>
      </xdr:nvSpPr>
      <xdr:spPr>
        <a:xfrm>
          <a:off x="782955" y="3131819"/>
          <a:ext cx="672465" cy="773431"/>
        </a:xfrm>
        <a:prstGeom prst="wedgeRectCallout">
          <a:avLst>
            <a:gd name="adj1" fmla="val -20833"/>
            <a:gd name="adj2" fmla="val 44109"/>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r>
            <a:rPr lang="en-US" sz="4800"/>
            <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17</xdr:row>
      <xdr:rowOff>0</xdr:rowOff>
    </xdr:from>
    <xdr:to>
      <xdr:col>1</xdr:col>
      <xdr:colOff>9525</xdr:colOff>
      <xdr:row>18</xdr:row>
      <xdr:rowOff>9525</xdr:rowOff>
    </xdr:to>
    <xdr:sp macro="" textlink="">
      <xdr:nvSpPr>
        <xdr:cNvPr id="2" name="Line 1">
          <a:extLst>
            <a:ext uri="{FF2B5EF4-FFF2-40B4-BE49-F238E27FC236}">
              <a16:creationId xmlns:a16="http://schemas.microsoft.com/office/drawing/2014/main" id="{051BADC3-59F7-4177-8C16-E4C8369CC2B2}"/>
            </a:ext>
          </a:extLst>
        </xdr:cNvPr>
        <xdr:cNvSpPr>
          <a:spLocks noChangeShapeType="1"/>
        </xdr:cNvSpPr>
      </xdr:nvSpPr>
      <xdr:spPr bwMode="auto">
        <a:xfrm flipH="1" flipV="1">
          <a:off x="680085" y="4137660"/>
          <a:ext cx="0" cy="222885"/>
        </a:xfrm>
        <a:prstGeom prst="line">
          <a:avLst/>
        </a:prstGeom>
        <a:noFill/>
        <a:ln w="12700">
          <a:solidFill>
            <a:srgbClr val="000000"/>
          </a:solidFill>
          <a:round/>
          <a:headEnd/>
          <a:tailEnd/>
        </a:ln>
      </xdr:spPr>
    </xdr:sp>
    <xdr:clientData/>
  </xdr:twoCellAnchor>
  <xdr:twoCellAnchor>
    <xdr:from>
      <xdr:col>1</xdr:col>
      <xdr:colOff>9525</xdr:colOff>
      <xdr:row>17</xdr:row>
      <xdr:rowOff>0</xdr:rowOff>
    </xdr:from>
    <xdr:to>
      <xdr:col>1</xdr:col>
      <xdr:colOff>9525</xdr:colOff>
      <xdr:row>18</xdr:row>
      <xdr:rowOff>9525</xdr:rowOff>
    </xdr:to>
    <xdr:sp macro="" textlink="">
      <xdr:nvSpPr>
        <xdr:cNvPr id="3" name="Line 1">
          <a:extLst>
            <a:ext uri="{FF2B5EF4-FFF2-40B4-BE49-F238E27FC236}">
              <a16:creationId xmlns:a16="http://schemas.microsoft.com/office/drawing/2014/main" id="{C7BED773-0187-4BE9-9240-091A518F364E}"/>
            </a:ext>
          </a:extLst>
        </xdr:cNvPr>
        <xdr:cNvSpPr>
          <a:spLocks noChangeShapeType="1"/>
        </xdr:cNvSpPr>
      </xdr:nvSpPr>
      <xdr:spPr bwMode="auto">
        <a:xfrm flipH="1" flipV="1">
          <a:off x="680085" y="4137660"/>
          <a:ext cx="0" cy="222885"/>
        </a:xfrm>
        <a:prstGeom prst="line">
          <a:avLst/>
        </a:prstGeom>
        <a:noFill/>
        <a:ln w="12700">
          <a:solidFill>
            <a:srgbClr val="000000"/>
          </a:solidFill>
          <a:round/>
          <a:headEnd/>
          <a:tailEnd/>
        </a:ln>
      </xdr:spPr>
    </xdr:sp>
    <xdr:clientData/>
  </xdr:twoCellAnchor>
  <xdr:twoCellAnchor>
    <xdr:from>
      <xdr:col>1</xdr:col>
      <xdr:colOff>9525</xdr:colOff>
      <xdr:row>17</xdr:row>
      <xdr:rowOff>0</xdr:rowOff>
    </xdr:from>
    <xdr:to>
      <xdr:col>1</xdr:col>
      <xdr:colOff>9525</xdr:colOff>
      <xdr:row>18</xdr:row>
      <xdr:rowOff>9525</xdr:rowOff>
    </xdr:to>
    <xdr:sp macro="" textlink="">
      <xdr:nvSpPr>
        <xdr:cNvPr id="4" name="Line 1">
          <a:extLst>
            <a:ext uri="{FF2B5EF4-FFF2-40B4-BE49-F238E27FC236}">
              <a16:creationId xmlns:a16="http://schemas.microsoft.com/office/drawing/2014/main" id="{2C362AC8-B4BC-432D-8703-99BAB1117733}"/>
            </a:ext>
          </a:extLst>
        </xdr:cNvPr>
        <xdr:cNvSpPr>
          <a:spLocks noChangeShapeType="1"/>
        </xdr:cNvSpPr>
      </xdr:nvSpPr>
      <xdr:spPr bwMode="auto">
        <a:xfrm flipH="1" flipV="1">
          <a:off x="680085" y="4137660"/>
          <a:ext cx="0" cy="222885"/>
        </a:xfrm>
        <a:prstGeom prst="line">
          <a:avLst/>
        </a:prstGeom>
        <a:noFill/>
        <a:ln w="12700">
          <a:solidFill>
            <a:srgbClr val="000000"/>
          </a:solidFill>
          <a:round/>
          <a:headEnd/>
          <a:tailEnd/>
        </a:ln>
      </xdr:spPr>
    </xdr:sp>
    <xdr:clientData/>
  </xdr:twoCellAnchor>
  <xdr:twoCellAnchor>
    <xdr:from>
      <xdr:col>1</xdr:col>
      <xdr:colOff>9525</xdr:colOff>
      <xdr:row>17</xdr:row>
      <xdr:rowOff>0</xdr:rowOff>
    </xdr:from>
    <xdr:to>
      <xdr:col>1</xdr:col>
      <xdr:colOff>9525</xdr:colOff>
      <xdr:row>18</xdr:row>
      <xdr:rowOff>9525</xdr:rowOff>
    </xdr:to>
    <xdr:sp macro="" textlink="">
      <xdr:nvSpPr>
        <xdr:cNvPr id="5" name="Line 1">
          <a:extLst>
            <a:ext uri="{FF2B5EF4-FFF2-40B4-BE49-F238E27FC236}">
              <a16:creationId xmlns:a16="http://schemas.microsoft.com/office/drawing/2014/main" id="{FD93AA1E-FFAA-4A98-9B0E-6DDAC7688737}"/>
            </a:ext>
          </a:extLst>
        </xdr:cNvPr>
        <xdr:cNvSpPr>
          <a:spLocks noChangeShapeType="1"/>
        </xdr:cNvSpPr>
      </xdr:nvSpPr>
      <xdr:spPr bwMode="auto">
        <a:xfrm flipH="1" flipV="1">
          <a:off x="680085" y="3268980"/>
          <a:ext cx="0" cy="177165"/>
        </a:xfrm>
        <a:prstGeom prst="line">
          <a:avLst/>
        </a:prstGeom>
        <a:noFill/>
        <a:ln w="12700">
          <a:solidFill>
            <a:srgbClr val="000000"/>
          </a:solidFill>
          <a:round/>
          <a:headEnd/>
          <a:tailEnd/>
        </a:ln>
      </xdr:spPr>
    </xdr:sp>
    <xdr:clientData/>
  </xdr:twoCellAnchor>
  <xdr:twoCellAnchor>
    <xdr:from>
      <xdr:col>1</xdr:col>
      <xdr:colOff>9525</xdr:colOff>
      <xdr:row>17</xdr:row>
      <xdr:rowOff>0</xdr:rowOff>
    </xdr:from>
    <xdr:to>
      <xdr:col>1</xdr:col>
      <xdr:colOff>9525</xdr:colOff>
      <xdr:row>18</xdr:row>
      <xdr:rowOff>9525</xdr:rowOff>
    </xdr:to>
    <xdr:sp macro="" textlink="">
      <xdr:nvSpPr>
        <xdr:cNvPr id="6" name="Line 1">
          <a:extLst>
            <a:ext uri="{FF2B5EF4-FFF2-40B4-BE49-F238E27FC236}">
              <a16:creationId xmlns:a16="http://schemas.microsoft.com/office/drawing/2014/main" id="{EC8E4D27-97BA-4F3C-B6C7-48578774DAA3}"/>
            </a:ext>
          </a:extLst>
        </xdr:cNvPr>
        <xdr:cNvSpPr>
          <a:spLocks noChangeShapeType="1"/>
        </xdr:cNvSpPr>
      </xdr:nvSpPr>
      <xdr:spPr bwMode="auto">
        <a:xfrm flipH="1" flipV="1">
          <a:off x="680085" y="3268980"/>
          <a:ext cx="0" cy="177165"/>
        </a:xfrm>
        <a:prstGeom prst="line">
          <a:avLst/>
        </a:prstGeom>
        <a:noFill/>
        <a:ln w="12700">
          <a:solidFill>
            <a:srgbClr val="000000"/>
          </a:solidFill>
          <a:round/>
          <a:headEnd/>
          <a:tailEnd/>
        </a:ln>
      </xdr:spPr>
    </xdr:sp>
    <xdr:clientData/>
  </xdr:twoCellAnchor>
  <xdr:twoCellAnchor>
    <xdr:from>
      <xdr:col>1</xdr:col>
      <xdr:colOff>9525</xdr:colOff>
      <xdr:row>17</xdr:row>
      <xdr:rowOff>0</xdr:rowOff>
    </xdr:from>
    <xdr:to>
      <xdr:col>1</xdr:col>
      <xdr:colOff>9525</xdr:colOff>
      <xdr:row>18</xdr:row>
      <xdr:rowOff>9525</xdr:rowOff>
    </xdr:to>
    <xdr:sp macro="" textlink="">
      <xdr:nvSpPr>
        <xdr:cNvPr id="7" name="Line 1">
          <a:extLst>
            <a:ext uri="{FF2B5EF4-FFF2-40B4-BE49-F238E27FC236}">
              <a16:creationId xmlns:a16="http://schemas.microsoft.com/office/drawing/2014/main" id="{BD255516-6AA2-4667-A48A-630AEE352EB6}"/>
            </a:ext>
          </a:extLst>
        </xdr:cNvPr>
        <xdr:cNvSpPr>
          <a:spLocks noChangeShapeType="1"/>
        </xdr:cNvSpPr>
      </xdr:nvSpPr>
      <xdr:spPr bwMode="auto">
        <a:xfrm flipH="1" flipV="1">
          <a:off x="680085" y="3268980"/>
          <a:ext cx="0" cy="177165"/>
        </a:xfrm>
        <a:prstGeom prst="line">
          <a:avLst/>
        </a:prstGeom>
        <a:noFill/>
        <a:ln w="12700">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egere\Desktop\BAYARGEREL\BG\Jidax\2025%20on\jidax%202025\3.4%20Jidax%20tailan\Sanhuu,%20Tatvar%202025.12.31\Jidax%202025.12.31%20Hariltsah.XLS" TargetMode="External"/><Relationship Id="rId1" Type="http://schemas.openxmlformats.org/officeDocument/2006/relationships/externalLinkPath" Target="/Users/egere/Desktop/BAYARGEREL/BG/Jidax/2025%20on/jidax%202025/3.4%20Jidax%20tailan/Sanhuu,%20Tatvar%202025.12.31/Jidax%202025.12.31%20Hariltsa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gere/AppData/Local/Temp/91e21662-d93d-4553-8f54-6d993f977914_&#1053;&#1041;&#1041;-2025%20&#1086;&#1085;-20250518T131246Z-1-001.zip.914/&#1053;&#1041;&#1041;-2025%20&#1086;&#1085;/3.%20&#1046;&#1080;&#1076;&#1072;&#1082;&#1089;%20&#1061;&#1050;/3.1%20&#1041;&#1072;&#1085;&#1082;,%20&#1050;&#1072;&#1089;&#1089;/&#1046;&#1080;&#1076;&#1072;&#1082;&#1089;-&#1061;&#1041;(MNT)-2025.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egere\Desktop\BG\Jidax\jidax%202025\Jidax%202025.06\Jidax%2025.II.xlsx" TargetMode="External"/><Relationship Id="rId1" Type="http://schemas.openxmlformats.org/officeDocument/2006/relationships/externalLinkPath" Target="/Users/egere/Desktop/BG/Jidax/jidax%202025/Jidax%202025.06/Jidax%2025.II.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egere\Desktop\BAYARGEREL\BG\Jidax\2025%20on\jidax%202025\3.4%20Jidax%20tailan\Sanhuu,%20Tatvar%202025.12.31\Jidax%2025.12.31%20Tailan.xlsx" TargetMode="External"/><Relationship Id="rId1" Type="http://schemas.openxmlformats.org/officeDocument/2006/relationships/externalLinkPath" Target="/Users/egere/Desktop/BAYARGEREL/BG/Jidax/2025%20on/jidax%202025/3.4%20Jidax%20tailan/Sanhuu,%20Tatvar%202025.12.31/Jidax%2025.12.31%20Tailan.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egere\Desktop\BG\Jidax\jidax%202025\Jidax%2025.III.xlsx" TargetMode="External"/><Relationship Id="rId1" Type="http://schemas.openxmlformats.org/officeDocument/2006/relationships/externalLinkPath" Target="/Users/egere/Desktop/BG/Jidax/jidax%202025/Jidax%2025.II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40%20Client%20Work/0.%20CURRENT%20BO/SONO/ACCOUNTING/2018/1802%20QUARTER/Financial%20Statement/SONOFORTE_FS_Q2_2018.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egere\Desktop\BG\Jidax\jidax%202025\Jidax%202025.09.30.xlsx" TargetMode="External"/><Relationship Id="rId1" Type="http://schemas.openxmlformats.org/officeDocument/2006/relationships/externalLinkPath" Target="/Users/egere/Desktop/BG/Jidax/jidax%202025/Jidax%202025.09.3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jil/Chandmani%20ochir%20erdene/Choe-VAT-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dbm tug"/>
      <sheetName val="tdbm usd dans"/>
      <sheetName val="Khan 1-6"/>
      <sheetName val="Khan07-09"/>
      <sheetName val="khan10-12"/>
      <sheetName val="khan netgel 25.01-12"/>
      <sheetName val="Golomt"/>
      <sheetName val="TDBM USD"/>
      <sheetName val="TDBM mnt"/>
      <sheetName val="BO"/>
      <sheetName val="Sheet2"/>
      <sheetName val="Sheet1"/>
      <sheetName val="Sheet3"/>
      <sheetName val="TDBM US"/>
      <sheetName val="Sheet5"/>
    </sheetNames>
    <sheetDataSet>
      <sheetData sheetId="0"/>
      <sheetData sheetId="1"/>
      <sheetData sheetId="2">
        <row r="90">
          <cell r="D90">
            <v>5618446.4399999976</v>
          </cell>
        </row>
      </sheetData>
      <sheetData sheetId="3">
        <row r="19">
          <cell r="J19">
            <v>5875102.4399999976</v>
          </cell>
        </row>
        <row r="29">
          <cell r="J29">
            <v>5066757.5099999979</v>
          </cell>
        </row>
        <row r="42">
          <cell r="J42">
            <v>468463.50999999791</v>
          </cell>
        </row>
      </sheetData>
      <sheetData sheetId="4">
        <row r="17">
          <cell r="K17">
            <v>247051.50999999046</v>
          </cell>
        </row>
        <row r="18">
          <cell r="G18" t="str">
            <v>Зээлдүүлэв. Лий-с</v>
          </cell>
          <cell r="H18">
            <v>1000000</v>
          </cell>
        </row>
        <row r="19">
          <cell r="G19" t="str">
            <v>Маркетингийн зардал</v>
          </cell>
          <cell r="H19">
            <v>926640</v>
          </cell>
        </row>
        <row r="20">
          <cell r="G20" t="str">
            <v>Гаалийн татварт</v>
          </cell>
          <cell r="H20">
            <v>10600</v>
          </cell>
        </row>
        <row r="21">
          <cell r="G21" t="str">
            <v>Домайн нэрийн төлбөрт</v>
          </cell>
          <cell r="H21">
            <v>191400</v>
          </cell>
        </row>
        <row r="22">
          <cell r="G22" t="str">
            <v>Борлуулалтын орлого</v>
          </cell>
          <cell r="H22">
            <v>11050000</v>
          </cell>
        </row>
        <row r="23">
          <cell r="G23" t="str">
            <v>Борлуулалтын орлого</v>
          </cell>
          <cell r="H23">
            <v>3600000</v>
          </cell>
        </row>
        <row r="24">
          <cell r="G24" t="str">
            <v>Агуулахын түрээс</v>
          </cell>
          <cell r="H24">
            <v>1980000</v>
          </cell>
        </row>
        <row r="25">
          <cell r="G25" t="str">
            <v>Цалин</v>
          </cell>
          <cell r="H25">
            <v>718344</v>
          </cell>
        </row>
        <row r="26">
          <cell r="G26" t="str">
            <v>Зээл төлөв. Лий-д</v>
          </cell>
          <cell r="H26">
            <v>11000000</v>
          </cell>
        </row>
        <row r="27">
          <cell r="G27" t="str">
            <v>Банк шимтгэл</v>
          </cell>
          <cell r="H27">
            <v>2000</v>
          </cell>
          <cell r="K27">
            <v>1068067.5099999905</v>
          </cell>
        </row>
        <row r="42">
          <cell r="K42">
            <v>486493.50999999046</v>
          </cell>
        </row>
      </sheetData>
      <sheetData sheetId="5">
        <row r="5">
          <cell r="Q5">
            <v>17208000</v>
          </cell>
        </row>
        <row r="23">
          <cell r="R23">
            <v>198942.29000001133</v>
          </cell>
        </row>
      </sheetData>
      <sheetData sheetId="6">
        <row r="8">
          <cell r="G8">
            <v>8160000</v>
          </cell>
        </row>
        <row r="10">
          <cell r="H10">
            <v>8160000</v>
          </cell>
        </row>
        <row r="12">
          <cell r="G12">
            <v>9048000</v>
          </cell>
        </row>
        <row r="15">
          <cell r="F15">
            <v>9122200</v>
          </cell>
        </row>
      </sheetData>
      <sheetData sheetId="7">
        <row r="6">
          <cell r="G6">
            <v>448155</v>
          </cell>
        </row>
        <row r="11">
          <cell r="H11">
            <v>12874803.84</v>
          </cell>
        </row>
        <row r="13">
          <cell r="H13">
            <v>23513849.854000002</v>
          </cell>
        </row>
        <row r="16">
          <cell r="H16">
            <v>23376230.107500002</v>
          </cell>
        </row>
        <row r="17">
          <cell r="I17">
            <v>47109400</v>
          </cell>
        </row>
        <row r="21">
          <cell r="I21">
            <v>95292.3</v>
          </cell>
        </row>
        <row r="23">
          <cell r="H23">
            <v>157906.50150001049</v>
          </cell>
        </row>
      </sheetData>
      <sheetData sheetId="8">
        <row r="5">
          <cell r="N5">
            <v>47109400</v>
          </cell>
        </row>
        <row r="9">
          <cell r="N9">
            <v>9500000</v>
          </cell>
        </row>
        <row r="13">
          <cell r="N13">
            <v>7300000</v>
          </cell>
        </row>
        <row r="14">
          <cell r="N14">
            <v>5000000</v>
          </cell>
        </row>
        <row r="15">
          <cell r="N15">
            <v>10000000</v>
          </cell>
        </row>
        <row r="17">
          <cell r="N17">
            <v>10000</v>
          </cell>
        </row>
        <row r="18">
          <cell r="N18">
            <v>5866560</v>
          </cell>
        </row>
        <row r="19">
          <cell r="N19">
            <v>9536100</v>
          </cell>
        </row>
        <row r="20">
          <cell r="N20">
            <v>6250400</v>
          </cell>
        </row>
        <row r="21">
          <cell r="N21">
            <v>9625338.5099999998</v>
          </cell>
        </row>
        <row r="22">
          <cell r="N22">
            <v>1831425</v>
          </cell>
        </row>
        <row r="27">
          <cell r="N27">
            <v>13049.990000011341</v>
          </cell>
        </row>
        <row r="31">
          <cell r="N31">
            <v>65974.660000011325</v>
          </cell>
        </row>
        <row r="35">
          <cell r="E35">
            <v>332501.15999999997</v>
          </cell>
        </row>
      </sheetData>
      <sheetData sheetId="9">
        <row r="2">
          <cell r="J2" t="str">
            <v xml:space="preserve"> Signature desings  LLC</v>
          </cell>
        </row>
        <row r="3">
          <cell r="J3" t="str">
            <v>102-р сургууль</v>
          </cell>
        </row>
        <row r="4">
          <cell r="J4" t="str">
            <v>Ирусам ХХК</v>
          </cell>
        </row>
        <row r="5">
          <cell r="J5" t="str">
            <v>Хангүг Сувон Сэри</v>
          </cell>
        </row>
        <row r="6">
          <cell r="J6" t="str">
            <v>Мега</v>
          </cell>
        </row>
        <row r="7">
          <cell r="J7" t="str">
            <v>Монголкореа сторе</v>
          </cell>
        </row>
        <row r="8">
          <cell r="J8" t="str">
            <v>Арвин бүрэн</v>
          </cell>
        </row>
        <row r="10">
          <cell r="J10" t="str">
            <v xml:space="preserve">Хувь хүн </v>
          </cell>
        </row>
        <row r="11">
          <cell r="J11" t="str">
            <v>Солонгос иргэдийн нийгэмлэг</v>
          </cell>
        </row>
        <row r="12">
          <cell r="J12" t="str">
            <v>Ихнаяд зах 87-р лангуу</v>
          </cell>
        </row>
        <row r="13">
          <cell r="J13" t="str">
            <v>Эко Грийн Энержи</v>
          </cell>
        </row>
        <row r="14">
          <cell r="J14" t="str">
            <v>Мэлз дэлгэрэх Хайрхан</v>
          </cell>
        </row>
        <row r="15">
          <cell r="J15" t="str">
            <v>СӨҮЛ</v>
          </cell>
        </row>
        <row r="16">
          <cell r="J16" t="str">
            <v>Премиум Нэксус ХК</v>
          </cell>
        </row>
        <row r="17">
          <cell r="J17" t="str">
            <v>Манува интернэшнл</v>
          </cell>
        </row>
        <row r="18">
          <cell r="J18" t="str">
            <v>Аз фүүд сис</v>
          </cell>
        </row>
      </sheetData>
      <sheetData sheetId="10">
        <row r="2">
          <cell r="B2" t="str">
            <v>СӨҮЛ</v>
          </cell>
          <cell r="G2">
            <v>550000</v>
          </cell>
        </row>
        <row r="3">
          <cell r="B3" t="str">
            <v>Монголкореа сторе</v>
          </cell>
          <cell r="G3">
            <v>26240000</v>
          </cell>
        </row>
        <row r="4">
          <cell r="B4" t="str">
            <v>Манува интернэшнл</v>
          </cell>
          <cell r="G4">
            <v>8500000</v>
          </cell>
        </row>
        <row r="5">
          <cell r="B5" t="str">
            <v>Эко Грийн Энержи</v>
          </cell>
          <cell r="G5">
            <v>3400000</v>
          </cell>
        </row>
        <row r="6">
          <cell r="B6" t="str">
            <v>Премиум Нэксус ХК</v>
          </cell>
          <cell r="G6">
            <v>11832000</v>
          </cell>
        </row>
        <row r="7">
          <cell r="B7" t="str">
            <v>Монголкореа сторе</v>
          </cell>
          <cell r="G7">
            <v>7650000</v>
          </cell>
        </row>
        <row r="8">
          <cell r="B8" t="str">
            <v>Премиум Нэксус ХК</v>
          </cell>
          <cell r="G8">
            <v>8160000</v>
          </cell>
        </row>
        <row r="9">
          <cell r="B9" t="str">
            <v xml:space="preserve">Хувь хүн </v>
          </cell>
          <cell r="G9">
            <v>707500</v>
          </cell>
        </row>
        <row r="10">
          <cell r="B10" t="str">
            <v>Арвин бүрэн</v>
          </cell>
          <cell r="G10">
            <v>4320000</v>
          </cell>
        </row>
        <row r="11">
          <cell r="B11" t="str">
            <v>Монголкореа сторе</v>
          </cell>
          <cell r="G11">
            <v>46690000</v>
          </cell>
        </row>
        <row r="12">
          <cell r="B12" t="str">
            <v>СӨҮЛ</v>
          </cell>
          <cell r="G12">
            <v>25410000</v>
          </cell>
        </row>
        <row r="13">
          <cell r="B13" t="str">
            <v>Мэлз дэлгэрэх Хайрхан</v>
          </cell>
          <cell r="G13">
            <v>7780000</v>
          </cell>
        </row>
        <row r="14">
          <cell r="B14" t="str">
            <v>Аз фүүд сис</v>
          </cell>
          <cell r="G14">
            <v>2865000</v>
          </cell>
        </row>
        <row r="15">
          <cell r="B15" t="str">
            <v xml:space="preserve">Хувь хүн </v>
          </cell>
          <cell r="G15">
            <v>537500</v>
          </cell>
        </row>
        <row r="16">
          <cell r="B16" t="str">
            <v>Монголкореа сторе</v>
          </cell>
          <cell r="G16">
            <v>26000000</v>
          </cell>
        </row>
        <row r="17">
          <cell r="B17" t="str">
            <v>Монголкореа сторе</v>
          </cell>
          <cell r="G17">
            <v>4726000</v>
          </cell>
        </row>
        <row r="18">
          <cell r="B18" t="str">
            <v>Солонгос иргэдийн нийгэмлэг</v>
          </cell>
          <cell r="G18">
            <v>1200000</v>
          </cell>
        </row>
        <row r="19">
          <cell r="B19" t="str">
            <v>Арвин бүрэн</v>
          </cell>
          <cell r="G19">
            <v>1810000</v>
          </cell>
        </row>
        <row r="20">
          <cell r="B20" t="str">
            <v>СӨҮЛ</v>
          </cell>
          <cell r="G20">
            <v>18150000</v>
          </cell>
        </row>
        <row r="21">
          <cell r="B21" t="str">
            <v>Монголкореа сторе</v>
          </cell>
          <cell r="G21">
            <v>15604000</v>
          </cell>
        </row>
        <row r="22">
          <cell r="B22" t="str">
            <v>Монголкореа сторе</v>
          </cell>
          <cell r="G22">
            <v>11020000</v>
          </cell>
        </row>
        <row r="23">
          <cell r="B23" t="str">
            <v>Ирусам ХХК</v>
          </cell>
          <cell r="G23">
            <v>6050000</v>
          </cell>
        </row>
        <row r="24">
          <cell r="B24" t="str">
            <v>Хангүг Сувон Сэри</v>
          </cell>
          <cell r="G24">
            <v>1210000</v>
          </cell>
        </row>
        <row r="25">
          <cell r="B25" t="str">
            <v>СӨҮЛ</v>
          </cell>
          <cell r="G25">
            <v>31460000</v>
          </cell>
        </row>
        <row r="26">
          <cell r="B26" t="str">
            <v xml:space="preserve"> Signature desings  LLC</v>
          </cell>
          <cell r="G26">
            <v>18150000</v>
          </cell>
        </row>
      </sheetData>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04"/>
      <sheetName val="SUM"/>
    </sheetNames>
    <sheetDataSet>
      <sheetData sheetId="0" refreshError="1">
        <row r="8">
          <cell r="G8">
            <v>0</v>
          </cell>
        </row>
        <row r="27">
          <cell r="G27">
            <v>57849.579999998212</v>
          </cell>
        </row>
      </sheetData>
      <sheetData sheetId="1" refreshError="1">
        <row r="10">
          <cell r="G10">
            <v>55849.579999998212</v>
          </cell>
        </row>
      </sheetData>
      <sheetData sheetId="2" refreshError="1">
        <row r="24">
          <cell r="G24">
            <v>456374.57999999821</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Гүйлгээ баланс"/>
      <sheetName val="Sheet2"/>
      <sheetName val="Sheet1"/>
      <sheetName val="нүүр"/>
      <sheetName val="BS"/>
      <sheetName val="IS"/>
      <sheetName val="ES"/>
      <sheetName val="CF"/>
      <sheetName val="tod"/>
      <sheetName val="25.II nuur"/>
      <sheetName val="25.II guilgee"/>
      <sheetName val="25.II ST-1"/>
      <sheetName val="25.II ST-2"/>
      <sheetName val="25.II ST-3"/>
      <sheetName val="25.II ST-4"/>
      <sheetName val="suutgan"/>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0">
          <cell r="A10" t="str">
            <v>1.1.1</v>
          </cell>
        </row>
        <row r="12">
          <cell r="A12" t="str">
            <v>1.1.3</v>
          </cell>
        </row>
        <row r="13">
          <cell r="A13" t="str">
            <v>1.1.4</v>
          </cell>
        </row>
        <row r="15">
          <cell r="A15" t="str">
            <v>1.1.6</v>
          </cell>
        </row>
        <row r="16">
          <cell r="A16" t="str">
            <v>1.1.7</v>
          </cell>
        </row>
        <row r="22">
          <cell r="A22" t="str">
            <v>1.2.1</v>
          </cell>
        </row>
        <row r="23">
          <cell r="A23" t="str">
            <v>1.2.2</v>
          </cell>
        </row>
        <row r="25">
          <cell r="A25" t="str">
            <v>1.2.4</v>
          </cell>
        </row>
        <row r="36">
          <cell r="A36" t="str">
            <v>2.1.1.1</v>
          </cell>
        </row>
        <row r="37">
          <cell r="A37" t="str">
            <v>2.1.1.2</v>
          </cell>
        </row>
        <row r="38">
          <cell r="A38" t="str">
            <v>2.1.1.3</v>
          </cell>
        </row>
        <row r="39">
          <cell r="A39" t="str">
            <v>2.1.1.4</v>
          </cell>
        </row>
        <row r="43">
          <cell r="A43" t="str">
            <v>2.1.1.8</v>
          </cell>
        </row>
        <row r="45">
          <cell r="A45" t="str">
            <v>2.1.1.10</v>
          </cell>
        </row>
        <row r="53">
          <cell r="A53" t="str">
            <v>2.1.2.4</v>
          </cell>
        </row>
        <row r="59">
          <cell r="A59" t="str">
            <v>2.3.2</v>
          </cell>
        </row>
        <row r="61">
          <cell r="A61" t="str">
            <v>2.3.4</v>
          </cell>
        </row>
        <row r="65">
          <cell r="A65" t="str">
            <v>2.3.8</v>
          </cell>
        </row>
        <row r="66">
          <cell r="A66" t="str">
            <v>2.3.9</v>
          </cell>
          <cell r="C66">
            <v>-182605116.34700099</v>
          </cell>
        </row>
      </sheetData>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ns"/>
      <sheetName val="Guilgee balans"/>
      <sheetName val="Nuur"/>
      <sheetName val="ST1"/>
      <sheetName val="ST2"/>
      <sheetName val="ST3"/>
      <sheetName val="ST4"/>
      <sheetName val="Gaali-2025"/>
      <sheetName val="Gaali"/>
      <sheetName val="Sheet4"/>
      <sheetName val="Sheet2"/>
      <sheetName val="BM"/>
      <sheetName val="Sheet3"/>
      <sheetName val="Vat"/>
      <sheetName val="Salary"/>
      <sheetName val="Dot-Hud"/>
      <sheetName val="Bor"/>
      <sheetName val="kass"/>
      <sheetName val="Sheet1"/>
    </sheetNames>
    <sheetDataSet>
      <sheetData sheetId="0"/>
      <sheetData sheetId="1">
        <row r="4">
          <cell r="H4">
            <v>116800.52201652527</v>
          </cell>
        </row>
        <row r="26">
          <cell r="I26">
            <v>582195.30700000003</v>
          </cell>
        </row>
        <row r="27">
          <cell r="I27">
            <v>816303.29232500005</v>
          </cell>
        </row>
        <row r="28">
          <cell r="I28">
            <v>0</v>
          </cell>
        </row>
        <row r="65">
          <cell r="H65">
            <v>4537288114.8111248</v>
          </cell>
        </row>
      </sheetData>
      <sheetData sheetId="2"/>
      <sheetData sheetId="3">
        <row r="68">
          <cell r="D68">
            <v>1178364506.3613696</v>
          </cell>
        </row>
      </sheetData>
      <sheetData sheetId="4">
        <row r="30">
          <cell r="D30">
            <v>-16904471.291629463</v>
          </cell>
        </row>
      </sheetData>
      <sheetData sheetId="5"/>
      <sheetData sheetId="6"/>
      <sheetData sheetId="7">
        <row r="29">
          <cell r="I29">
            <v>3530.23</v>
          </cell>
        </row>
        <row r="32">
          <cell r="E32">
            <v>16</v>
          </cell>
        </row>
      </sheetData>
      <sheetData sheetId="8"/>
      <sheetData sheetId="9"/>
      <sheetData sheetId="10"/>
      <sheetData sheetId="11"/>
      <sheetData sheetId="12"/>
      <sheetData sheetId="13">
        <row r="15">
          <cell r="M15">
            <v>-26382862.903000001</v>
          </cell>
        </row>
        <row r="16">
          <cell r="D16">
            <v>263656363.66</v>
          </cell>
        </row>
      </sheetData>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uilgee"/>
      <sheetName val="25.II nuur"/>
      <sheetName val="25.II ST-1"/>
      <sheetName val="25.II ST-2"/>
      <sheetName val="25.II ST-3"/>
      <sheetName val="25.II ST-4"/>
    </sheetNames>
    <sheetDataSet>
      <sheetData sheetId="0" refreshError="1"/>
      <sheetData sheetId="1" refreshError="1"/>
      <sheetData sheetId="2" refreshError="1">
        <row r="3">
          <cell r="A3" t="str">
            <v>"ЖИДАКС" ХК</v>
          </cell>
        </row>
      </sheetData>
      <sheetData sheetId="3" refreshError="1"/>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_MGL"/>
      <sheetName val="Cover Letter_MGL"/>
      <sheetName val="Balance Sheet"/>
      <sheetName val="Income Statement"/>
      <sheetName val="Equity "/>
      <sheetName val="Cash flow "/>
      <sheetName val="Cash transaction"/>
      <sheetName val="TB"/>
      <sheetName val="CIT_ENG"/>
      <sheetName val="Cover_ENG"/>
      <sheetName val="Cover Letter_ENG"/>
      <sheetName val="Balance Sheet_ENG"/>
      <sheetName val="Income Statement_ENG"/>
      <sheetName val="Equity_ENG"/>
      <sheetName val="Cash flow_ENG"/>
      <sheetName val="GL"/>
    </sheetNames>
    <sheetDataSet>
      <sheetData sheetId="0" refreshError="1"/>
      <sheetData sheetId="1" refreshError="1"/>
      <sheetData sheetId="2" refreshError="1">
        <row r="64">
          <cell r="E6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uilgee"/>
      <sheetName val="Sheet6"/>
      <sheetName val="Sheet7"/>
      <sheetName val="Sheet8"/>
      <sheetName val="Sheet9"/>
      <sheetName val="Suutgan"/>
      <sheetName val="vat"/>
      <sheetName val="Haan 7-9"/>
      <sheetName val="Sheet4"/>
      <sheetName val="BM"/>
      <sheetName val="5101ebarimt"/>
      <sheetName val="Bor dans"/>
      <sheetName val="Hudaldan"/>
      <sheetName val="Im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
          <cell r="F4">
            <v>804896.22082810546</v>
          </cell>
        </row>
        <row r="5">
          <cell r="F5">
            <v>1303165.3099121705</v>
          </cell>
        </row>
        <row r="6">
          <cell r="F6">
            <v>13308.469259723965</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t 20.01"/>
      <sheetName val="bor 20.01сар"/>
      <sheetName val="гүйл01"/>
      <sheetName val="Hud 20.01сар"/>
      <sheetName val="vat 20.02"/>
      <sheetName val="bor 20.02"/>
      <sheetName val="hud 20.02"/>
      <sheetName val="guil 20.02"/>
      <sheetName val="Jurnal 03.31"/>
      <sheetName val="hud.avalt 20.01"/>
      <sheetName val="hud.avalt 20.02"/>
      <sheetName val="VAT 20.03"/>
      <sheetName val="hud.avalt 20.03"/>
      <sheetName val="Imp hud. avalt 20.03"/>
      <sheetName val="hud.avalt 20.04"/>
      <sheetName val="imp hud.avalt 20.04"/>
      <sheetName val="vat 20.05"/>
      <sheetName val="hud.avalt 20.05"/>
      <sheetName val="Imp hud 20.05"/>
      <sheetName val="vat 20.06"/>
      <sheetName val="hud.avalt 20.06"/>
      <sheetName val="imp 20.06"/>
      <sheetName val="jurnal 06.30"/>
      <sheetName val="vat 20.07"/>
      <sheetName val="hud.devter 20.07"/>
      <sheetName val="imp 20.07"/>
      <sheetName val="vat 20.08"/>
      <sheetName val="hud 20.08"/>
      <sheetName val="imp 20.08"/>
      <sheetName val="vat20.09"/>
      <sheetName val="imp 20.09"/>
      <sheetName val="hud20.09"/>
      <sheetName val="20.10 hud"/>
      <sheetName val="20.10 imp"/>
      <sheetName val="20.11 hud"/>
      <sheetName val="20.11 imp"/>
      <sheetName val="negtgel"/>
      <sheetName val="20.12 imp"/>
      <sheetName val="20.12 hu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5">
          <cell r="T5">
            <v>9249999.9999999981</v>
          </cell>
        </row>
        <row r="6">
          <cell r="T6">
            <v>7090909.0909090908</v>
          </cell>
        </row>
        <row r="7">
          <cell r="T7">
            <v>8818181.8181818184</v>
          </cell>
        </row>
        <row r="8">
          <cell r="F8">
            <v>8494793.0270000007</v>
          </cell>
          <cell r="T8">
            <v>6909090.9090909082</v>
          </cell>
        </row>
        <row r="9">
          <cell r="F9">
            <v>7608798.5020000003</v>
          </cell>
          <cell r="T9">
            <v>0</v>
          </cell>
        </row>
        <row r="10">
          <cell r="F10">
            <v>8046838.1831450006</v>
          </cell>
          <cell r="T10">
            <v>18137454.545454543</v>
          </cell>
        </row>
        <row r="11">
          <cell r="F11">
            <v>7001073.3166599991</v>
          </cell>
          <cell r="T11">
            <v>22768181.818181816</v>
          </cell>
        </row>
        <row r="12">
          <cell r="F12">
            <v>10026208.653828202</v>
          </cell>
        </row>
        <row r="13">
          <cell r="F13">
            <v>7093655.1643600008</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workbookViewId="0">
      <pane xSplit="1" ySplit="3" topLeftCell="I4" activePane="bottomRight" state="frozen"/>
      <selection activeCell="D17" sqref="D17"/>
      <selection pane="topRight" activeCell="D17" sqref="D17"/>
      <selection pane="bottomLeft" activeCell="D17" sqref="D17"/>
      <selection pane="bottomRight" activeCell="D17" sqref="D17"/>
    </sheetView>
  </sheetViews>
  <sheetFormatPr defaultRowHeight="12.75"/>
  <cols>
    <col min="1" max="1" width="31.28515625" style="1" customWidth="1"/>
    <col min="2" max="2" width="13.85546875" style="217" customWidth="1"/>
    <col min="3" max="3" width="13.85546875" style="186" customWidth="1"/>
    <col min="4" max="4" width="13.85546875" style="217" customWidth="1"/>
    <col min="5" max="7" width="13.85546875" style="186" customWidth="1"/>
    <col min="8" max="8" width="14.5703125" style="186" customWidth="1"/>
    <col min="9" max="9" width="14.5703125" style="1" customWidth="1"/>
    <col min="10" max="10" width="13.42578125" style="186" customWidth="1"/>
    <col min="11" max="11" width="16.42578125" style="186" customWidth="1"/>
    <col min="12" max="12" width="14.5703125" style="186" customWidth="1"/>
    <col min="13" max="13" width="14" style="186" customWidth="1"/>
    <col min="14" max="14" width="15.28515625" style="186" customWidth="1"/>
    <col min="15" max="15" width="20.7109375" style="186" customWidth="1"/>
    <col min="16" max="16" width="14.28515625" style="186" customWidth="1"/>
    <col min="17" max="17" width="12.85546875" style="1" customWidth="1"/>
    <col min="18" max="18" width="14.7109375" style="1" bestFit="1" customWidth="1"/>
    <col min="19" max="19" width="43.42578125" style="1" hidden="1" customWidth="1"/>
    <col min="20" max="20" width="15.28515625" style="1" customWidth="1"/>
    <col min="21" max="256" width="8.85546875" style="1"/>
    <col min="257" max="257" width="31.28515625" style="1" customWidth="1"/>
    <col min="258" max="269" width="0" style="1" hidden="1" customWidth="1"/>
    <col min="270" max="270" width="15.28515625" style="1" customWidth="1"/>
    <col min="271" max="271" width="20.7109375" style="1" customWidth="1"/>
    <col min="272" max="272" width="14.28515625" style="1" bestFit="1" customWidth="1"/>
    <col min="273" max="273" width="12.85546875" style="1" customWidth="1"/>
    <col min="274" max="274" width="14.7109375" style="1" bestFit="1" customWidth="1"/>
    <col min="275" max="512" width="8.85546875" style="1"/>
    <col min="513" max="513" width="31.28515625" style="1" customWidth="1"/>
    <col min="514" max="525" width="0" style="1" hidden="1" customWidth="1"/>
    <col min="526" max="526" width="15.28515625" style="1" customWidth="1"/>
    <col min="527" max="527" width="20.7109375" style="1" customWidth="1"/>
    <col min="528" max="528" width="14.28515625" style="1" bestFit="1" customWidth="1"/>
    <col min="529" max="529" width="12.85546875" style="1" customWidth="1"/>
    <col min="530" max="530" width="14.7109375" style="1" bestFit="1" customWidth="1"/>
    <col min="531" max="768" width="8.85546875" style="1"/>
    <col min="769" max="769" width="31.28515625" style="1" customWidth="1"/>
    <col min="770" max="781" width="0" style="1" hidden="1" customWidth="1"/>
    <col min="782" max="782" width="15.28515625" style="1" customWidth="1"/>
    <col min="783" max="783" width="20.7109375" style="1" customWidth="1"/>
    <col min="784" max="784" width="14.28515625" style="1" bestFit="1" customWidth="1"/>
    <col min="785" max="785" width="12.85546875" style="1" customWidth="1"/>
    <col min="786" max="786" width="14.7109375" style="1" bestFit="1" customWidth="1"/>
    <col min="787" max="1024" width="8.85546875" style="1"/>
    <col min="1025" max="1025" width="31.28515625" style="1" customWidth="1"/>
    <col min="1026" max="1037" width="0" style="1" hidden="1" customWidth="1"/>
    <col min="1038" max="1038" width="15.28515625" style="1" customWidth="1"/>
    <col min="1039" max="1039" width="20.7109375" style="1" customWidth="1"/>
    <col min="1040" max="1040" width="14.28515625" style="1" bestFit="1" customWidth="1"/>
    <col min="1041" max="1041" width="12.85546875" style="1" customWidth="1"/>
    <col min="1042" max="1042" width="14.7109375" style="1" bestFit="1" customWidth="1"/>
    <col min="1043" max="1280" width="8.85546875" style="1"/>
    <col min="1281" max="1281" width="31.28515625" style="1" customWidth="1"/>
    <col min="1282" max="1293" width="0" style="1" hidden="1" customWidth="1"/>
    <col min="1294" max="1294" width="15.28515625" style="1" customWidth="1"/>
    <col min="1295" max="1295" width="20.7109375" style="1" customWidth="1"/>
    <col min="1296" max="1296" width="14.28515625" style="1" bestFit="1" customWidth="1"/>
    <col min="1297" max="1297" width="12.85546875" style="1" customWidth="1"/>
    <col min="1298" max="1298" width="14.7109375" style="1" bestFit="1" customWidth="1"/>
    <col min="1299" max="1536" width="8.85546875" style="1"/>
    <col min="1537" max="1537" width="31.28515625" style="1" customWidth="1"/>
    <col min="1538" max="1549" width="0" style="1" hidden="1" customWidth="1"/>
    <col min="1550" max="1550" width="15.28515625" style="1" customWidth="1"/>
    <col min="1551" max="1551" width="20.7109375" style="1" customWidth="1"/>
    <col min="1552" max="1552" width="14.28515625" style="1" bestFit="1" customWidth="1"/>
    <col min="1553" max="1553" width="12.85546875" style="1" customWidth="1"/>
    <col min="1554" max="1554" width="14.7109375" style="1" bestFit="1" customWidth="1"/>
    <col min="1555" max="1792" width="8.85546875" style="1"/>
    <col min="1793" max="1793" width="31.28515625" style="1" customWidth="1"/>
    <col min="1794" max="1805" width="0" style="1" hidden="1" customWidth="1"/>
    <col min="1806" max="1806" width="15.28515625" style="1" customWidth="1"/>
    <col min="1807" max="1807" width="20.7109375" style="1" customWidth="1"/>
    <col min="1808" max="1808" width="14.28515625" style="1" bestFit="1" customWidth="1"/>
    <col min="1809" max="1809" width="12.85546875" style="1" customWidth="1"/>
    <col min="1810" max="1810" width="14.7109375" style="1" bestFit="1" customWidth="1"/>
    <col min="1811" max="2048" width="8.85546875" style="1"/>
    <col min="2049" max="2049" width="31.28515625" style="1" customWidth="1"/>
    <col min="2050" max="2061" width="0" style="1" hidden="1" customWidth="1"/>
    <col min="2062" max="2062" width="15.28515625" style="1" customWidth="1"/>
    <col min="2063" max="2063" width="20.7109375" style="1" customWidth="1"/>
    <col min="2064" max="2064" width="14.28515625" style="1" bestFit="1" customWidth="1"/>
    <col min="2065" max="2065" width="12.85546875" style="1" customWidth="1"/>
    <col min="2066" max="2066" width="14.7109375" style="1" bestFit="1" customWidth="1"/>
    <col min="2067" max="2304" width="8.85546875" style="1"/>
    <col min="2305" max="2305" width="31.28515625" style="1" customWidth="1"/>
    <col min="2306" max="2317" width="0" style="1" hidden="1" customWidth="1"/>
    <col min="2318" max="2318" width="15.28515625" style="1" customWidth="1"/>
    <col min="2319" max="2319" width="20.7109375" style="1" customWidth="1"/>
    <col min="2320" max="2320" width="14.28515625" style="1" bestFit="1" customWidth="1"/>
    <col min="2321" max="2321" width="12.85546875" style="1" customWidth="1"/>
    <col min="2322" max="2322" width="14.7109375" style="1" bestFit="1" customWidth="1"/>
    <col min="2323" max="2560" width="8.85546875" style="1"/>
    <col min="2561" max="2561" width="31.28515625" style="1" customWidth="1"/>
    <col min="2562" max="2573" width="0" style="1" hidden="1" customWidth="1"/>
    <col min="2574" max="2574" width="15.28515625" style="1" customWidth="1"/>
    <col min="2575" max="2575" width="20.7109375" style="1" customWidth="1"/>
    <col min="2576" max="2576" width="14.28515625" style="1" bestFit="1" customWidth="1"/>
    <col min="2577" max="2577" width="12.85546875" style="1" customWidth="1"/>
    <col min="2578" max="2578" width="14.7109375" style="1" bestFit="1" customWidth="1"/>
    <col min="2579" max="2816" width="8.85546875" style="1"/>
    <col min="2817" max="2817" width="31.28515625" style="1" customWidth="1"/>
    <col min="2818" max="2829" width="0" style="1" hidden="1" customWidth="1"/>
    <col min="2830" max="2830" width="15.28515625" style="1" customWidth="1"/>
    <col min="2831" max="2831" width="20.7109375" style="1" customWidth="1"/>
    <col min="2832" max="2832" width="14.28515625" style="1" bestFit="1" customWidth="1"/>
    <col min="2833" max="2833" width="12.85546875" style="1" customWidth="1"/>
    <col min="2834" max="2834" width="14.7109375" style="1" bestFit="1" customWidth="1"/>
    <col min="2835" max="3072" width="8.85546875" style="1"/>
    <col min="3073" max="3073" width="31.28515625" style="1" customWidth="1"/>
    <col min="3074" max="3085" width="0" style="1" hidden="1" customWidth="1"/>
    <col min="3086" max="3086" width="15.28515625" style="1" customWidth="1"/>
    <col min="3087" max="3087" width="20.7109375" style="1" customWidth="1"/>
    <col min="3088" max="3088" width="14.28515625" style="1" bestFit="1" customWidth="1"/>
    <col min="3089" max="3089" width="12.85546875" style="1" customWidth="1"/>
    <col min="3090" max="3090" width="14.7109375" style="1" bestFit="1" customWidth="1"/>
    <col min="3091" max="3328" width="8.85546875" style="1"/>
    <col min="3329" max="3329" width="31.28515625" style="1" customWidth="1"/>
    <col min="3330" max="3341" width="0" style="1" hidden="1" customWidth="1"/>
    <col min="3342" max="3342" width="15.28515625" style="1" customWidth="1"/>
    <col min="3343" max="3343" width="20.7109375" style="1" customWidth="1"/>
    <col min="3344" max="3344" width="14.28515625" style="1" bestFit="1" customWidth="1"/>
    <col min="3345" max="3345" width="12.85546875" style="1" customWidth="1"/>
    <col min="3346" max="3346" width="14.7109375" style="1" bestFit="1" customWidth="1"/>
    <col min="3347" max="3584" width="8.85546875" style="1"/>
    <col min="3585" max="3585" width="31.28515625" style="1" customWidth="1"/>
    <col min="3586" max="3597" width="0" style="1" hidden="1" customWidth="1"/>
    <col min="3598" max="3598" width="15.28515625" style="1" customWidth="1"/>
    <col min="3599" max="3599" width="20.7109375" style="1" customWidth="1"/>
    <col min="3600" max="3600" width="14.28515625" style="1" bestFit="1" customWidth="1"/>
    <col min="3601" max="3601" width="12.85546875" style="1" customWidth="1"/>
    <col min="3602" max="3602" width="14.7109375" style="1" bestFit="1" customWidth="1"/>
    <col min="3603" max="3840" width="8.85546875" style="1"/>
    <col min="3841" max="3841" width="31.28515625" style="1" customWidth="1"/>
    <col min="3842" max="3853" width="0" style="1" hidden="1" customWidth="1"/>
    <col min="3854" max="3854" width="15.28515625" style="1" customWidth="1"/>
    <col min="3855" max="3855" width="20.7109375" style="1" customWidth="1"/>
    <col min="3856" max="3856" width="14.28515625" style="1" bestFit="1" customWidth="1"/>
    <col min="3857" max="3857" width="12.85546875" style="1" customWidth="1"/>
    <col min="3858" max="3858" width="14.7109375" style="1" bestFit="1" customWidth="1"/>
    <col min="3859" max="4096" width="8.85546875" style="1"/>
    <col min="4097" max="4097" width="31.28515625" style="1" customWidth="1"/>
    <col min="4098" max="4109" width="0" style="1" hidden="1" customWidth="1"/>
    <col min="4110" max="4110" width="15.28515625" style="1" customWidth="1"/>
    <col min="4111" max="4111" width="20.7109375" style="1" customWidth="1"/>
    <col min="4112" max="4112" width="14.28515625" style="1" bestFit="1" customWidth="1"/>
    <col min="4113" max="4113" width="12.85546875" style="1" customWidth="1"/>
    <col min="4114" max="4114" width="14.7109375" style="1" bestFit="1" customWidth="1"/>
    <col min="4115" max="4352" width="8.85546875" style="1"/>
    <col min="4353" max="4353" width="31.28515625" style="1" customWidth="1"/>
    <col min="4354" max="4365" width="0" style="1" hidden="1" customWidth="1"/>
    <col min="4366" max="4366" width="15.28515625" style="1" customWidth="1"/>
    <col min="4367" max="4367" width="20.7109375" style="1" customWidth="1"/>
    <col min="4368" max="4368" width="14.28515625" style="1" bestFit="1" customWidth="1"/>
    <col min="4369" max="4369" width="12.85546875" style="1" customWidth="1"/>
    <col min="4370" max="4370" width="14.7109375" style="1" bestFit="1" customWidth="1"/>
    <col min="4371" max="4608" width="8.85546875" style="1"/>
    <col min="4609" max="4609" width="31.28515625" style="1" customWidth="1"/>
    <col min="4610" max="4621" width="0" style="1" hidden="1" customWidth="1"/>
    <col min="4622" max="4622" width="15.28515625" style="1" customWidth="1"/>
    <col min="4623" max="4623" width="20.7109375" style="1" customWidth="1"/>
    <col min="4624" max="4624" width="14.28515625" style="1" bestFit="1" customWidth="1"/>
    <col min="4625" max="4625" width="12.85546875" style="1" customWidth="1"/>
    <col min="4626" max="4626" width="14.7109375" style="1" bestFit="1" customWidth="1"/>
    <col min="4627" max="4864" width="8.85546875" style="1"/>
    <col min="4865" max="4865" width="31.28515625" style="1" customWidth="1"/>
    <col min="4866" max="4877" width="0" style="1" hidden="1" customWidth="1"/>
    <col min="4878" max="4878" width="15.28515625" style="1" customWidth="1"/>
    <col min="4879" max="4879" width="20.7109375" style="1" customWidth="1"/>
    <col min="4880" max="4880" width="14.28515625" style="1" bestFit="1" customWidth="1"/>
    <col min="4881" max="4881" width="12.85546875" style="1" customWidth="1"/>
    <col min="4882" max="4882" width="14.7109375" style="1" bestFit="1" customWidth="1"/>
    <col min="4883" max="5120" width="8.85546875" style="1"/>
    <col min="5121" max="5121" width="31.28515625" style="1" customWidth="1"/>
    <col min="5122" max="5133" width="0" style="1" hidden="1" customWidth="1"/>
    <col min="5134" max="5134" width="15.28515625" style="1" customWidth="1"/>
    <col min="5135" max="5135" width="20.7109375" style="1" customWidth="1"/>
    <col min="5136" max="5136" width="14.28515625" style="1" bestFit="1" customWidth="1"/>
    <col min="5137" max="5137" width="12.85546875" style="1" customWidth="1"/>
    <col min="5138" max="5138" width="14.7109375" style="1" bestFit="1" customWidth="1"/>
    <col min="5139" max="5376" width="8.85546875" style="1"/>
    <col min="5377" max="5377" width="31.28515625" style="1" customWidth="1"/>
    <col min="5378" max="5389" width="0" style="1" hidden="1" customWidth="1"/>
    <col min="5390" max="5390" width="15.28515625" style="1" customWidth="1"/>
    <col min="5391" max="5391" width="20.7109375" style="1" customWidth="1"/>
    <col min="5392" max="5392" width="14.28515625" style="1" bestFit="1" customWidth="1"/>
    <col min="5393" max="5393" width="12.85546875" style="1" customWidth="1"/>
    <col min="5394" max="5394" width="14.7109375" style="1" bestFit="1" customWidth="1"/>
    <col min="5395" max="5632" width="8.85546875" style="1"/>
    <col min="5633" max="5633" width="31.28515625" style="1" customWidth="1"/>
    <col min="5634" max="5645" width="0" style="1" hidden="1" customWidth="1"/>
    <col min="5646" max="5646" width="15.28515625" style="1" customWidth="1"/>
    <col min="5647" max="5647" width="20.7109375" style="1" customWidth="1"/>
    <col min="5648" max="5648" width="14.28515625" style="1" bestFit="1" customWidth="1"/>
    <col min="5649" max="5649" width="12.85546875" style="1" customWidth="1"/>
    <col min="5650" max="5650" width="14.7109375" style="1" bestFit="1" customWidth="1"/>
    <col min="5651" max="5888" width="8.85546875" style="1"/>
    <col min="5889" max="5889" width="31.28515625" style="1" customWidth="1"/>
    <col min="5890" max="5901" width="0" style="1" hidden="1" customWidth="1"/>
    <col min="5902" max="5902" width="15.28515625" style="1" customWidth="1"/>
    <col min="5903" max="5903" width="20.7109375" style="1" customWidth="1"/>
    <col min="5904" max="5904" width="14.28515625" style="1" bestFit="1" customWidth="1"/>
    <col min="5905" max="5905" width="12.85546875" style="1" customWidth="1"/>
    <col min="5906" max="5906" width="14.7109375" style="1" bestFit="1" customWidth="1"/>
    <col min="5907" max="6144" width="8.85546875" style="1"/>
    <col min="6145" max="6145" width="31.28515625" style="1" customWidth="1"/>
    <col min="6146" max="6157" width="0" style="1" hidden="1" customWidth="1"/>
    <col min="6158" max="6158" width="15.28515625" style="1" customWidth="1"/>
    <col min="6159" max="6159" width="20.7109375" style="1" customWidth="1"/>
    <col min="6160" max="6160" width="14.28515625" style="1" bestFit="1" customWidth="1"/>
    <col min="6161" max="6161" width="12.85546875" style="1" customWidth="1"/>
    <col min="6162" max="6162" width="14.7109375" style="1" bestFit="1" customWidth="1"/>
    <col min="6163" max="6400" width="8.85546875" style="1"/>
    <col min="6401" max="6401" width="31.28515625" style="1" customWidth="1"/>
    <col min="6402" max="6413" width="0" style="1" hidden="1" customWidth="1"/>
    <col min="6414" max="6414" width="15.28515625" style="1" customWidth="1"/>
    <col min="6415" max="6415" width="20.7109375" style="1" customWidth="1"/>
    <col min="6416" max="6416" width="14.28515625" style="1" bestFit="1" customWidth="1"/>
    <col min="6417" max="6417" width="12.85546875" style="1" customWidth="1"/>
    <col min="6418" max="6418" width="14.7109375" style="1" bestFit="1" customWidth="1"/>
    <col min="6419" max="6656" width="8.85546875" style="1"/>
    <col min="6657" max="6657" width="31.28515625" style="1" customWidth="1"/>
    <col min="6658" max="6669" width="0" style="1" hidden="1" customWidth="1"/>
    <col min="6670" max="6670" width="15.28515625" style="1" customWidth="1"/>
    <col min="6671" max="6671" width="20.7109375" style="1" customWidth="1"/>
    <col min="6672" max="6672" width="14.28515625" style="1" bestFit="1" customWidth="1"/>
    <col min="6673" max="6673" width="12.85546875" style="1" customWidth="1"/>
    <col min="6674" max="6674" width="14.7109375" style="1" bestFit="1" customWidth="1"/>
    <col min="6675" max="6912" width="8.85546875" style="1"/>
    <col min="6913" max="6913" width="31.28515625" style="1" customWidth="1"/>
    <col min="6914" max="6925" width="0" style="1" hidden="1" customWidth="1"/>
    <col min="6926" max="6926" width="15.28515625" style="1" customWidth="1"/>
    <col min="6927" max="6927" width="20.7109375" style="1" customWidth="1"/>
    <col min="6928" max="6928" width="14.28515625" style="1" bestFit="1" customWidth="1"/>
    <col min="6929" max="6929" width="12.85546875" style="1" customWidth="1"/>
    <col min="6930" max="6930" width="14.7109375" style="1" bestFit="1" customWidth="1"/>
    <col min="6931" max="7168" width="8.85546875" style="1"/>
    <col min="7169" max="7169" width="31.28515625" style="1" customWidth="1"/>
    <col min="7170" max="7181" width="0" style="1" hidden="1" customWidth="1"/>
    <col min="7182" max="7182" width="15.28515625" style="1" customWidth="1"/>
    <col min="7183" max="7183" width="20.7109375" style="1" customWidth="1"/>
    <col min="7184" max="7184" width="14.28515625" style="1" bestFit="1" customWidth="1"/>
    <col min="7185" max="7185" width="12.85546875" style="1" customWidth="1"/>
    <col min="7186" max="7186" width="14.7109375" style="1" bestFit="1" customWidth="1"/>
    <col min="7187" max="7424" width="8.85546875" style="1"/>
    <col min="7425" max="7425" width="31.28515625" style="1" customWidth="1"/>
    <col min="7426" max="7437" width="0" style="1" hidden="1" customWidth="1"/>
    <col min="7438" max="7438" width="15.28515625" style="1" customWidth="1"/>
    <col min="7439" max="7439" width="20.7109375" style="1" customWidth="1"/>
    <col min="7440" max="7440" width="14.28515625" style="1" bestFit="1" customWidth="1"/>
    <col min="7441" max="7441" width="12.85546875" style="1" customWidth="1"/>
    <col min="7442" max="7442" width="14.7109375" style="1" bestFit="1" customWidth="1"/>
    <col min="7443" max="7680" width="8.85546875" style="1"/>
    <col min="7681" max="7681" width="31.28515625" style="1" customWidth="1"/>
    <col min="7682" max="7693" width="0" style="1" hidden="1" customWidth="1"/>
    <col min="7694" max="7694" width="15.28515625" style="1" customWidth="1"/>
    <col min="7695" max="7695" width="20.7109375" style="1" customWidth="1"/>
    <col min="7696" max="7696" width="14.28515625" style="1" bestFit="1" customWidth="1"/>
    <col min="7697" max="7697" width="12.85546875" style="1" customWidth="1"/>
    <col min="7698" max="7698" width="14.7109375" style="1" bestFit="1" customWidth="1"/>
    <col min="7699" max="7936" width="8.85546875" style="1"/>
    <col min="7937" max="7937" width="31.28515625" style="1" customWidth="1"/>
    <col min="7938" max="7949" width="0" style="1" hidden="1" customWidth="1"/>
    <col min="7950" max="7950" width="15.28515625" style="1" customWidth="1"/>
    <col min="7951" max="7951" width="20.7109375" style="1" customWidth="1"/>
    <col min="7952" max="7952" width="14.28515625" style="1" bestFit="1" customWidth="1"/>
    <col min="7953" max="7953" width="12.85546875" style="1" customWidth="1"/>
    <col min="7954" max="7954" width="14.7109375" style="1" bestFit="1" customWidth="1"/>
    <col min="7955" max="8192" width="8.85546875" style="1"/>
    <col min="8193" max="8193" width="31.28515625" style="1" customWidth="1"/>
    <col min="8194" max="8205" width="0" style="1" hidden="1" customWidth="1"/>
    <col min="8206" max="8206" width="15.28515625" style="1" customWidth="1"/>
    <col min="8207" max="8207" width="20.7109375" style="1" customWidth="1"/>
    <col min="8208" max="8208" width="14.28515625" style="1" bestFit="1" customWidth="1"/>
    <col min="8209" max="8209" width="12.85546875" style="1" customWidth="1"/>
    <col min="8210" max="8210" width="14.7109375" style="1" bestFit="1" customWidth="1"/>
    <col min="8211" max="8448" width="8.85546875" style="1"/>
    <col min="8449" max="8449" width="31.28515625" style="1" customWidth="1"/>
    <col min="8450" max="8461" width="0" style="1" hidden="1" customWidth="1"/>
    <col min="8462" max="8462" width="15.28515625" style="1" customWidth="1"/>
    <col min="8463" max="8463" width="20.7109375" style="1" customWidth="1"/>
    <col min="8464" max="8464" width="14.28515625" style="1" bestFit="1" customWidth="1"/>
    <col min="8465" max="8465" width="12.85546875" style="1" customWidth="1"/>
    <col min="8466" max="8466" width="14.7109375" style="1" bestFit="1" customWidth="1"/>
    <col min="8467" max="8704" width="8.85546875" style="1"/>
    <col min="8705" max="8705" width="31.28515625" style="1" customWidth="1"/>
    <col min="8706" max="8717" width="0" style="1" hidden="1" customWidth="1"/>
    <col min="8718" max="8718" width="15.28515625" style="1" customWidth="1"/>
    <col min="8719" max="8719" width="20.7109375" style="1" customWidth="1"/>
    <col min="8720" max="8720" width="14.28515625" style="1" bestFit="1" customWidth="1"/>
    <col min="8721" max="8721" width="12.85546875" style="1" customWidth="1"/>
    <col min="8722" max="8722" width="14.7109375" style="1" bestFit="1" customWidth="1"/>
    <col min="8723" max="8960" width="8.85546875" style="1"/>
    <col min="8961" max="8961" width="31.28515625" style="1" customWidth="1"/>
    <col min="8962" max="8973" width="0" style="1" hidden="1" customWidth="1"/>
    <col min="8974" max="8974" width="15.28515625" style="1" customWidth="1"/>
    <col min="8975" max="8975" width="20.7109375" style="1" customWidth="1"/>
    <col min="8976" max="8976" width="14.28515625" style="1" bestFit="1" customWidth="1"/>
    <col min="8977" max="8977" width="12.85546875" style="1" customWidth="1"/>
    <col min="8978" max="8978" width="14.7109375" style="1" bestFit="1" customWidth="1"/>
    <col min="8979" max="9216" width="8.85546875" style="1"/>
    <col min="9217" max="9217" width="31.28515625" style="1" customWidth="1"/>
    <col min="9218" max="9229" width="0" style="1" hidden="1" customWidth="1"/>
    <col min="9230" max="9230" width="15.28515625" style="1" customWidth="1"/>
    <col min="9231" max="9231" width="20.7109375" style="1" customWidth="1"/>
    <col min="9232" max="9232" width="14.28515625" style="1" bestFit="1" customWidth="1"/>
    <col min="9233" max="9233" width="12.85546875" style="1" customWidth="1"/>
    <col min="9234" max="9234" width="14.7109375" style="1" bestFit="1" customWidth="1"/>
    <col min="9235" max="9472" width="8.85546875" style="1"/>
    <col min="9473" max="9473" width="31.28515625" style="1" customWidth="1"/>
    <col min="9474" max="9485" width="0" style="1" hidden="1" customWidth="1"/>
    <col min="9486" max="9486" width="15.28515625" style="1" customWidth="1"/>
    <col min="9487" max="9487" width="20.7109375" style="1" customWidth="1"/>
    <col min="9488" max="9488" width="14.28515625" style="1" bestFit="1" customWidth="1"/>
    <col min="9489" max="9489" width="12.85546875" style="1" customWidth="1"/>
    <col min="9490" max="9490" width="14.7109375" style="1" bestFit="1" customWidth="1"/>
    <col min="9491" max="9728" width="8.85546875" style="1"/>
    <col min="9729" max="9729" width="31.28515625" style="1" customWidth="1"/>
    <col min="9730" max="9741" width="0" style="1" hidden="1" customWidth="1"/>
    <col min="9742" max="9742" width="15.28515625" style="1" customWidth="1"/>
    <col min="9743" max="9743" width="20.7109375" style="1" customWidth="1"/>
    <col min="9744" max="9744" width="14.28515625" style="1" bestFit="1" customWidth="1"/>
    <col min="9745" max="9745" width="12.85546875" style="1" customWidth="1"/>
    <col min="9746" max="9746" width="14.7109375" style="1" bestFit="1" customWidth="1"/>
    <col min="9747" max="9984" width="8.85546875" style="1"/>
    <col min="9985" max="9985" width="31.28515625" style="1" customWidth="1"/>
    <col min="9986" max="9997" width="0" style="1" hidden="1" customWidth="1"/>
    <col min="9998" max="9998" width="15.28515625" style="1" customWidth="1"/>
    <col min="9999" max="9999" width="20.7109375" style="1" customWidth="1"/>
    <col min="10000" max="10000" width="14.28515625" style="1" bestFit="1" customWidth="1"/>
    <col min="10001" max="10001" width="12.85546875" style="1" customWidth="1"/>
    <col min="10002" max="10002" width="14.7109375" style="1" bestFit="1" customWidth="1"/>
    <col min="10003" max="10240" width="8.85546875" style="1"/>
    <col min="10241" max="10241" width="31.28515625" style="1" customWidth="1"/>
    <col min="10242" max="10253" width="0" style="1" hidden="1" customWidth="1"/>
    <col min="10254" max="10254" width="15.28515625" style="1" customWidth="1"/>
    <col min="10255" max="10255" width="20.7109375" style="1" customWidth="1"/>
    <col min="10256" max="10256" width="14.28515625" style="1" bestFit="1" customWidth="1"/>
    <col min="10257" max="10257" width="12.85546875" style="1" customWidth="1"/>
    <col min="10258" max="10258" width="14.7109375" style="1" bestFit="1" customWidth="1"/>
    <col min="10259" max="10496" width="8.85546875" style="1"/>
    <col min="10497" max="10497" width="31.28515625" style="1" customWidth="1"/>
    <col min="10498" max="10509" width="0" style="1" hidden="1" customWidth="1"/>
    <col min="10510" max="10510" width="15.28515625" style="1" customWidth="1"/>
    <col min="10511" max="10511" width="20.7109375" style="1" customWidth="1"/>
    <col min="10512" max="10512" width="14.28515625" style="1" bestFit="1" customWidth="1"/>
    <col min="10513" max="10513" width="12.85546875" style="1" customWidth="1"/>
    <col min="10514" max="10514" width="14.7109375" style="1" bestFit="1" customWidth="1"/>
    <col min="10515" max="10752" width="8.85546875" style="1"/>
    <col min="10753" max="10753" width="31.28515625" style="1" customWidth="1"/>
    <col min="10754" max="10765" width="0" style="1" hidden="1" customWidth="1"/>
    <col min="10766" max="10766" width="15.28515625" style="1" customWidth="1"/>
    <col min="10767" max="10767" width="20.7109375" style="1" customWidth="1"/>
    <col min="10768" max="10768" width="14.28515625" style="1" bestFit="1" customWidth="1"/>
    <col min="10769" max="10769" width="12.85546875" style="1" customWidth="1"/>
    <col min="10770" max="10770" width="14.7109375" style="1" bestFit="1" customWidth="1"/>
    <col min="10771" max="11008" width="8.85546875" style="1"/>
    <col min="11009" max="11009" width="31.28515625" style="1" customWidth="1"/>
    <col min="11010" max="11021" width="0" style="1" hidden="1" customWidth="1"/>
    <col min="11022" max="11022" width="15.28515625" style="1" customWidth="1"/>
    <col min="11023" max="11023" width="20.7109375" style="1" customWidth="1"/>
    <col min="11024" max="11024" width="14.28515625" style="1" bestFit="1" customWidth="1"/>
    <col min="11025" max="11025" width="12.85546875" style="1" customWidth="1"/>
    <col min="11026" max="11026" width="14.7109375" style="1" bestFit="1" customWidth="1"/>
    <col min="11027" max="11264" width="8.85546875" style="1"/>
    <col min="11265" max="11265" width="31.28515625" style="1" customWidth="1"/>
    <col min="11266" max="11277" width="0" style="1" hidden="1" customWidth="1"/>
    <col min="11278" max="11278" width="15.28515625" style="1" customWidth="1"/>
    <col min="11279" max="11279" width="20.7109375" style="1" customWidth="1"/>
    <col min="11280" max="11280" width="14.28515625" style="1" bestFit="1" customWidth="1"/>
    <col min="11281" max="11281" width="12.85546875" style="1" customWidth="1"/>
    <col min="11282" max="11282" width="14.7109375" style="1" bestFit="1" customWidth="1"/>
    <col min="11283" max="11520" width="8.85546875" style="1"/>
    <col min="11521" max="11521" width="31.28515625" style="1" customWidth="1"/>
    <col min="11522" max="11533" width="0" style="1" hidden="1" customWidth="1"/>
    <col min="11534" max="11534" width="15.28515625" style="1" customWidth="1"/>
    <col min="11535" max="11535" width="20.7109375" style="1" customWidth="1"/>
    <col min="11536" max="11536" width="14.28515625" style="1" bestFit="1" customWidth="1"/>
    <col min="11537" max="11537" width="12.85546875" style="1" customWidth="1"/>
    <col min="11538" max="11538" width="14.7109375" style="1" bestFit="1" customWidth="1"/>
    <col min="11539" max="11776" width="8.85546875" style="1"/>
    <col min="11777" max="11777" width="31.28515625" style="1" customWidth="1"/>
    <col min="11778" max="11789" width="0" style="1" hidden="1" customWidth="1"/>
    <col min="11790" max="11790" width="15.28515625" style="1" customWidth="1"/>
    <col min="11791" max="11791" width="20.7109375" style="1" customWidth="1"/>
    <col min="11792" max="11792" width="14.28515625" style="1" bestFit="1" customWidth="1"/>
    <col min="11793" max="11793" width="12.85546875" style="1" customWidth="1"/>
    <col min="11794" max="11794" width="14.7109375" style="1" bestFit="1" customWidth="1"/>
    <col min="11795" max="12032" width="8.85546875" style="1"/>
    <col min="12033" max="12033" width="31.28515625" style="1" customWidth="1"/>
    <col min="12034" max="12045" width="0" style="1" hidden="1" customWidth="1"/>
    <col min="12046" max="12046" width="15.28515625" style="1" customWidth="1"/>
    <col min="12047" max="12047" width="20.7109375" style="1" customWidth="1"/>
    <col min="12048" max="12048" width="14.28515625" style="1" bestFit="1" customWidth="1"/>
    <col min="12049" max="12049" width="12.85546875" style="1" customWidth="1"/>
    <col min="12050" max="12050" width="14.7109375" style="1" bestFit="1" customWidth="1"/>
    <col min="12051" max="12288" width="8.85546875" style="1"/>
    <col min="12289" max="12289" width="31.28515625" style="1" customWidth="1"/>
    <col min="12290" max="12301" width="0" style="1" hidden="1" customWidth="1"/>
    <col min="12302" max="12302" width="15.28515625" style="1" customWidth="1"/>
    <col min="12303" max="12303" width="20.7109375" style="1" customWidth="1"/>
    <col min="12304" max="12304" width="14.28515625" style="1" bestFit="1" customWidth="1"/>
    <col min="12305" max="12305" width="12.85546875" style="1" customWidth="1"/>
    <col min="12306" max="12306" width="14.7109375" style="1" bestFit="1" customWidth="1"/>
    <col min="12307" max="12544" width="8.85546875" style="1"/>
    <col min="12545" max="12545" width="31.28515625" style="1" customWidth="1"/>
    <col min="12546" max="12557" width="0" style="1" hidden="1" customWidth="1"/>
    <col min="12558" max="12558" width="15.28515625" style="1" customWidth="1"/>
    <col min="12559" max="12559" width="20.7109375" style="1" customWidth="1"/>
    <col min="12560" max="12560" width="14.28515625" style="1" bestFit="1" customWidth="1"/>
    <col min="12561" max="12561" width="12.85546875" style="1" customWidth="1"/>
    <col min="12562" max="12562" width="14.7109375" style="1" bestFit="1" customWidth="1"/>
    <col min="12563" max="12800" width="8.85546875" style="1"/>
    <col min="12801" max="12801" width="31.28515625" style="1" customWidth="1"/>
    <col min="12802" max="12813" width="0" style="1" hidden="1" customWidth="1"/>
    <col min="12814" max="12814" width="15.28515625" style="1" customWidth="1"/>
    <col min="12815" max="12815" width="20.7109375" style="1" customWidth="1"/>
    <col min="12816" max="12816" width="14.28515625" style="1" bestFit="1" customWidth="1"/>
    <col min="12817" max="12817" width="12.85546875" style="1" customWidth="1"/>
    <col min="12818" max="12818" width="14.7109375" style="1" bestFit="1" customWidth="1"/>
    <col min="12819" max="13056" width="8.85546875" style="1"/>
    <col min="13057" max="13057" width="31.28515625" style="1" customWidth="1"/>
    <col min="13058" max="13069" width="0" style="1" hidden="1" customWidth="1"/>
    <col min="13070" max="13070" width="15.28515625" style="1" customWidth="1"/>
    <col min="13071" max="13071" width="20.7109375" style="1" customWidth="1"/>
    <col min="13072" max="13072" width="14.28515625" style="1" bestFit="1" customWidth="1"/>
    <col min="13073" max="13073" width="12.85546875" style="1" customWidth="1"/>
    <col min="13074" max="13074" width="14.7109375" style="1" bestFit="1" customWidth="1"/>
    <col min="13075" max="13312" width="8.85546875" style="1"/>
    <col min="13313" max="13313" width="31.28515625" style="1" customWidth="1"/>
    <col min="13314" max="13325" width="0" style="1" hidden="1" customWidth="1"/>
    <col min="13326" max="13326" width="15.28515625" style="1" customWidth="1"/>
    <col min="13327" max="13327" width="20.7109375" style="1" customWidth="1"/>
    <col min="13328" max="13328" width="14.28515625" style="1" bestFit="1" customWidth="1"/>
    <col min="13329" max="13329" width="12.85546875" style="1" customWidth="1"/>
    <col min="13330" max="13330" width="14.7109375" style="1" bestFit="1" customWidth="1"/>
    <col min="13331" max="13568" width="8.85546875" style="1"/>
    <col min="13569" max="13569" width="31.28515625" style="1" customWidth="1"/>
    <col min="13570" max="13581" width="0" style="1" hidden="1" customWidth="1"/>
    <col min="13582" max="13582" width="15.28515625" style="1" customWidth="1"/>
    <col min="13583" max="13583" width="20.7109375" style="1" customWidth="1"/>
    <col min="13584" max="13584" width="14.28515625" style="1" bestFit="1" customWidth="1"/>
    <col min="13585" max="13585" width="12.85546875" style="1" customWidth="1"/>
    <col min="13586" max="13586" width="14.7109375" style="1" bestFit="1" customWidth="1"/>
    <col min="13587" max="13824" width="8.85546875" style="1"/>
    <col min="13825" max="13825" width="31.28515625" style="1" customWidth="1"/>
    <col min="13826" max="13837" width="0" style="1" hidden="1" customWidth="1"/>
    <col min="13838" max="13838" width="15.28515625" style="1" customWidth="1"/>
    <col min="13839" max="13839" width="20.7109375" style="1" customWidth="1"/>
    <col min="13840" max="13840" width="14.28515625" style="1" bestFit="1" customWidth="1"/>
    <col min="13841" max="13841" width="12.85546875" style="1" customWidth="1"/>
    <col min="13842" max="13842" width="14.7109375" style="1" bestFit="1" customWidth="1"/>
    <col min="13843" max="14080" width="8.85546875" style="1"/>
    <col min="14081" max="14081" width="31.28515625" style="1" customWidth="1"/>
    <col min="14082" max="14093" width="0" style="1" hidden="1" customWidth="1"/>
    <col min="14094" max="14094" width="15.28515625" style="1" customWidth="1"/>
    <col min="14095" max="14095" width="20.7109375" style="1" customWidth="1"/>
    <col min="14096" max="14096" width="14.28515625" style="1" bestFit="1" customWidth="1"/>
    <col min="14097" max="14097" width="12.85546875" style="1" customWidth="1"/>
    <col min="14098" max="14098" width="14.7109375" style="1" bestFit="1" customWidth="1"/>
    <col min="14099" max="14336" width="8.85546875" style="1"/>
    <col min="14337" max="14337" width="31.28515625" style="1" customWidth="1"/>
    <col min="14338" max="14349" width="0" style="1" hidden="1" customWidth="1"/>
    <col min="14350" max="14350" width="15.28515625" style="1" customWidth="1"/>
    <col min="14351" max="14351" width="20.7109375" style="1" customWidth="1"/>
    <col min="14352" max="14352" width="14.28515625" style="1" bestFit="1" customWidth="1"/>
    <col min="14353" max="14353" width="12.85546875" style="1" customWidth="1"/>
    <col min="14354" max="14354" width="14.7109375" style="1" bestFit="1" customWidth="1"/>
    <col min="14355" max="14592" width="8.85546875" style="1"/>
    <col min="14593" max="14593" width="31.28515625" style="1" customWidth="1"/>
    <col min="14594" max="14605" width="0" style="1" hidden="1" customWidth="1"/>
    <col min="14606" max="14606" width="15.28515625" style="1" customWidth="1"/>
    <col min="14607" max="14607" width="20.7109375" style="1" customWidth="1"/>
    <col min="14608" max="14608" width="14.28515625" style="1" bestFit="1" customWidth="1"/>
    <col min="14609" max="14609" width="12.85546875" style="1" customWidth="1"/>
    <col min="14610" max="14610" width="14.7109375" style="1" bestFit="1" customWidth="1"/>
    <col min="14611" max="14848" width="8.85546875" style="1"/>
    <col min="14849" max="14849" width="31.28515625" style="1" customWidth="1"/>
    <col min="14850" max="14861" width="0" style="1" hidden="1" customWidth="1"/>
    <col min="14862" max="14862" width="15.28515625" style="1" customWidth="1"/>
    <col min="14863" max="14863" width="20.7109375" style="1" customWidth="1"/>
    <col min="14864" max="14864" width="14.28515625" style="1" bestFit="1" customWidth="1"/>
    <col min="14865" max="14865" width="12.85546875" style="1" customWidth="1"/>
    <col min="14866" max="14866" width="14.7109375" style="1" bestFit="1" customWidth="1"/>
    <col min="14867" max="15104" width="8.85546875" style="1"/>
    <col min="15105" max="15105" width="31.28515625" style="1" customWidth="1"/>
    <col min="15106" max="15117" width="0" style="1" hidden="1" customWidth="1"/>
    <col min="15118" max="15118" width="15.28515625" style="1" customWidth="1"/>
    <col min="15119" max="15119" width="20.7109375" style="1" customWidth="1"/>
    <col min="15120" max="15120" width="14.28515625" style="1" bestFit="1" customWidth="1"/>
    <col min="15121" max="15121" width="12.85546875" style="1" customWidth="1"/>
    <col min="15122" max="15122" width="14.7109375" style="1" bestFit="1" customWidth="1"/>
    <col min="15123" max="15360" width="8.85546875" style="1"/>
    <col min="15361" max="15361" width="31.28515625" style="1" customWidth="1"/>
    <col min="15362" max="15373" width="0" style="1" hidden="1" customWidth="1"/>
    <col min="15374" max="15374" width="15.28515625" style="1" customWidth="1"/>
    <col min="15375" max="15375" width="20.7109375" style="1" customWidth="1"/>
    <col min="15376" max="15376" width="14.28515625" style="1" bestFit="1" customWidth="1"/>
    <col min="15377" max="15377" width="12.85546875" style="1" customWidth="1"/>
    <col min="15378" max="15378" width="14.7109375" style="1" bestFit="1" customWidth="1"/>
    <col min="15379" max="15616" width="8.85546875" style="1"/>
    <col min="15617" max="15617" width="31.28515625" style="1" customWidth="1"/>
    <col min="15618" max="15629" width="0" style="1" hidden="1" customWidth="1"/>
    <col min="15630" max="15630" width="15.28515625" style="1" customWidth="1"/>
    <col min="15631" max="15631" width="20.7109375" style="1" customWidth="1"/>
    <col min="15632" max="15632" width="14.28515625" style="1" bestFit="1" customWidth="1"/>
    <col min="15633" max="15633" width="12.85546875" style="1" customWidth="1"/>
    <col min="15634" max="15634" width="14.7109375" style="1" bestFit="1" customWidth="1"/>
    <col min="15635" max="15872" width="8.85546875" style="1"/>
    <col min="15873" max="15873" width="31.28515625" style="1" customWidth="1"/>
    <col min="15874" max="15885" width="0" style="1" hidden="1" customWidth="1"/>
    <col min="15886" max="15886" width="15.28515625" style="1" customWidth="1"/>
    <col min="15887" max="15887" width="20.7109375" style="1" customWidth="1"/>
    <col min="15888" max="15888" width="14.28515625" style="1" bestFit="1" customWidth="1"/>
    <col min="15889" max="15889" width="12.85546875" style="1" customWidth="1"/>
    <col min="15890" max="15890" width="14.7109375" style="1" bestFit="1" customWidth="1"/>
    <col min="15891" max="16128" width="8.85546875" style="1"/>
    <col min="16129" max="16129" width="31.28515625" style="1" customWidth="1"/>
    <col min="16130" max="16141" width="0" style="1" hidden="1" customWidth="1"/>
    <col min="16142" max="16142" width="15.28515625" style="1" customWidth="1"/>
    <col min="16143" max="16143" width="20.7109375" style="1" customWidth="1"/>
    <col min="16144" max="16144" width="14.28515625" style="1" bestFit="1" customWidth="1"/>
    <col min="16145" max="16145" width="12.85546875" style="1" customWidth="1"/>
    <col min="16146" max="16146" width="14.7109375" style="1" bestFit="1" customWidth="1"/>
    <col min="16147" max="16384" width="8.85546875" style="1"/>
  </cols>
  <sheetData>
    <row r="1" spans="1:20" ht="14.45" customHeight="1">
      <c r="A1" s="183"/>
      <c r="B1" s="184"/>
      <c r="C1" s="185"/>
      <c r="D1" s="184"/>
      <c r="E1" s="185"/>
      <c r="F1" s="185"/>
      <c r="G1" s="185"/>
      <c r="H1" s="185"/>
      <c r="I1" s="183"/>
      <c r="J1" s="185"/>
      <c r="K1" s="185"/>
      <c r="L1" s="185"/>
      <c r="M1" s="185"/>
      <c r="N1" s="266">
        <f>SUM(N4:N10)</f>
        <v>289154500</v>
      </c>
      <c r="O1" s="266">
        <f t="shared" ref="O1:Q1" si="0">SUM(O5:O10)</f>
        <v>10500000</v>
      </c>
      <c r="P1" s="266">
        <f t="shared" si="0"/>
        <v>59764883.801500008</v>
      </c>
      <c r="Q1" s="266">
        <f t="shared" si="0"/>
        <v>17208000</v>
      </c>
    </row>
    <row r="2" spans="1:20" ht="13.9" customHeight="1">
      <c r="A2" s="187" t="s">
        <v>588</v>
      </c>
      <c r="B2" s="184"/>
      <c r="C2" s="185"/>
      <c r="D2" s="184"/>
      <c r="F2" s="188"/>
      <c r="G2" s="188"/>
      <c r="H2" s="185"/>
      <c r="I2" s="183"/>
      <c r="J2" s="185"/>
      <c r="K2" s="185"/>
      <c r="L2" s="185"/>
      <c r="M2" s="185"/>
      <c r="N2" s="185"/>
    </row>
    <row r="3" spans="1:20" ht="13.5">
      <c r="A3" s="258" t="s">
        <v>104</v>
      </c>
      <c r="B3" s="189" t="s">
        <v>589</v>
      </c>
      <c r="C3" s="190" t="s">
        <v>590</v>
      </c>
      <c r="D3" s="189" t="s">
        <v>591</v>
      </c>
      <c r="E3" s="190" t="s">
        <v>592</v>
      </c>
      <c r="F3" s="190" t="s">
        <v>593</v>
      </c>
      <c r="G3" s="190" t="s">
        <v>594</v>
      </c>
      <c r="H3" s="190" t="s">
        <v>595</v>
      </c>
      <c r="I3" s="190" t="s">
        <v>596</v>
      </c>
      <c r="J3" s="190" t="s">
        <v>597</v>
      </c>
      <c r="K3" s="190" t="s">
        <v>598</v>
      </c>
      <c r="L3" s="190" t="s">
        <v>599</v>
      </c>
      <c r="M3" s="190" t="s">
        <v>600</v>
      </c>
      <c r="N3" s="191" t="s">
        <v>601</v>
      </c>
      <c r="O3" s="192" t="s">
        <v>602</v>
      </c>
      <c r="P3" s="192" t="s">
        <v>603</v>
      </c>
      <c r="Q3" s="193" t="s">
        <v>604</v>
      </c>
      <c r="R3" s="194" t="s">
        <v>605</v>
      </c>
      <c r="S3" s="1" t="s">
        <v>642</v>
      </c>
    </row>
    <row r="4" spans="1:20" s="196" customFormat="1" ht="15">
      <c r="A4" s="220" t="s">
        <v>606</v>
      </c>
      <c r="B4" s="221">
        <v>100000</v>
      </c>
      <c r="C4" s="222"/>
      <c r="D4" s="221"/>
      <c r="E4" s="223"/>
      <c r="F4" s="221"/>
      <c r="G4" s="224"/>
      <c r="H4" s="225">
        <v>0</v>
      </c>
      <c r="I4" s="223">
        <v>0</v>
      </c>
      <c r="J4" s="223">
        <v>0</v>
      </c>
      <c r="K4" s="222">
        <v>0</v>
      </c>
      <c r="L4" s="222">
        <v>0</v>
      </c>
      <c r="M4" s="222">
        <v>0</v>
      </c>
      <c r="N4" s="222">
        <f>SUM(B4:M4)</f>
        <v>100000</v>
      </c>
      <c r="O4" s="223">
        <f>+'[1]TDBM mnt'!N5</f>
        <v>47109400</v>
      </c>
      <c r="P4" s="226"/>
      <c r="Q4" s="226"/>
      <c r="R4" s="248">
        <f>SUM(N4:Q4)</f>
        <v>47209400</v>
      </c>
    </row>
    <row r="5" spans="1:20" s="196" customFormat="1" ht="15">
      <c r="A5" s="220" t="s">
        <v>607</v>
      </c>
      <c r="B5" s="221">
        <v>58080000</v>
      </c>
      <c r="C5" s="227"/>
      <c r="D5" s="221">
        <v>11020000</v>
      </c>
      <c r="E5" s="222">
        <v>34131500</v>
      </c>
      <c r="F5" s="222">
        <v>7970000</v>
      </c>
      <c r="G5" s="224">
        <v>27658000</v>
      </c>
      <c r="H5" s="225">
        <v>14350000</v>
      </c>
      <c r="I5" s="222">
        <v>21165000</v>
      </c>
      <c r="J5" s="222">
        <v>34350000</v>
      </c>
      <c r="K5" s="222">
        <v>18090000</v>
      </c>
      <c r="L5" s="293">
        <f>SUMIF('[1]khan10-12'!$G$18:$G$27,A5,'[1]khan10-12'!$H$18:$H$27)</f>
        <v>14650000</v>
      </c>
      <c r="M5" s="222">
        <v>19290000</v>
      </c>
      <c r="N5" s="222">
        <f t="shared" ref="N5:N10" si="1">SUM(B5:M5)</f>
        <v>260754500</v>
      </c>
      <c r="O5" s="223"/>
      <c r="P5" s="226"/>
      <c r="Q5" s="226">
        <f>+[1]Golomt!G8+[1]Golomt!G12</f>
        <v>17208000</v>
      </c>
      <c r="R5" s="195">
        <f>SUM(N5:Q5)</f>
        <v>277962500</v>
      </c>
      <c r="S5" s="196" t="s">
        <v>78</v>
      </c>
      <c r="T5" s="292"/>
    </row>
    <row r="6" spans="1:20" s="196" customFormat="1" ht="15">
      <c r="A6" s="220" t="s">
        <v>608</v>
      </c>
      <c r="B6" s="221"/>
      <c r="C6" s="221"/>
      <c r="D6" s="221"/>
      <c r="E6" s="222"/>
      <c r="F6" s="222"/>
      <c r="G6" s="224"/>
      <c r="H6" s="225">
        <v>0</v>
      </c>
      <c r="I6" s="222">
        <v>0</v>
      </c>
      <c r="J6" s="222">
        <v>0</v>
      </c>
      <c r="K6" s="222">
        <v>0</v>
      </c>
      <c r="L6" s="293">
        <f>SUMIF('[1]khan10-12'!$G$18:$G$27,A6,'[1]khan10-12'!$H$18:$H$27)</f>
        <v>0</v>
      </c>
      <c r="M6" s="222">
        <v>0</v>
      </c>
      <c r="N6" s="222">
        <f t="shared" si="1"/>
        <v>0</v>
      </c>
      <c r="O6" s="223"/>
      <c r="P6" s="226"/>
      <c r="Q6" s="226"/>
      <c r="R6" s="195">
        <f t="shared" ref="R6:R39" si="2">SUM(N6:Q6)</f>
        <v>0</v>
      </c>
    </row>
    <row r="7" spans="1:20" s="196" customFormat="1" ht="15">
      <c r="A7" s="220" t="s">
        <v>609</v>
      </c>
      <c r="B7" s="221"/>
      <c r="C7" s="221"/>
      <c r="D7" s="221"/>
      <c r="E7" s="222">
        <v>5000000</v>
      </c>
      <c r="F7" s="222"/>
      <c r="G7" s="224"/>
      <c r="H7" s="225">
        <v>0</v>
      </c>
      <c r="I7" s="222">
        <v>0</v>
      </c>
      <c r="J7" s="222">
        <v>0</v>
      </c>
      <c r="K7" s="222">
        <v>0</v>
      </c>
      <c r="L7" s="293">
        <f>SUMIF('[1]khan10-12'!$G$18:$G$27,A7,'[1]khan10-12'!$H$18:$H$27)</f>
        <v>0</v>
      </c>
      <c r="M7" s="222">
        <v>0</v>
      </c>
      <c r="N7" s="222">
        <f t="shared" si="1"/>
        <v>5000000</v>
      </c>
      <c r="O7" s="223">
        <v>1000000</v>
      </c>
      <c r="P7" s="226"/>
      <c r="Q7" s="226"/>
      <c r="R7" s="195">
        <f t="shared" si="2"/>
        <v>6000000</v>
      </c>
      <c r="S7" s="196" t="s">
        <v>87</v>
      </c>
    </row>
    <row r="8" spans="1:20" s="196" customFormat="1" ht="15">
      <c r="A8" s="220" t="s">
        <v>610</v>
      </c>
      <c r="B8" s="221"/>
      <c r="C8" s="221"/>
      <c r="D8" s="221"/>
      <c r="E8" s="222"/>
      <c r="F8" s="222"/>
      <c r="G8" s="224"/>
      <c r="H8" s="225">
        <v>0</v>
      </c>
      <c r="I8" s="222">
        <v>0</v>
      </c>
      <c r="J8" s="222">
        <v>0</v>
      </c>
      <c r="K8" s="222">
        <v>0</v>
      </c>
      <c r="L8" s="293">
        <f>SUMIF('[1]khan10-12'!$G$18:$G$27,A8,'[1]khan10-12'!$H$18:$H$27)</f>
        <v>0</v>
      </c>
      <c r="M8" s="222">
        <v>0</v>
      </c>
      <c r="N8" s="222">
        <f t="shared" si="1"/>
        <v>0</v>
      </c>
      <c r="O8" s="223"/>
      <c r="P8" s="226"/>
      <c r="Q8" s="226"/>
      <c r="R8" s="195">
        <f t="shared" si="2"/>
        <v>0</v>
      </c>
    </row>
    <row r="9" spans="1:20" s="196" customFormat="1" ht="15">
      <c r="A9" s="228" t="s">
        <v>611</v>
      </c>
      <c r="B9" s="221">
        <v>10000000</v>
      </c>
      <c r="C9" s="222"/>
      <c r="D9" s="221">
        <v>2500000</v>
      </c>
      <c r="E9" s="222">
        <v>200000</v>
      </c>
      <c r="F9" s="222"/>
      <c r="G9" s="224">
        <v>3800000</v>
      </c>
      <c r="H9" s="225">
        <v>1800000</v>
      </c>
      <c r="I9" s="222">
        <v>0</v>
      </c>
      <c r="J9" s="222">
        <v>0</v>
      </c>
      <c r="K9" s="222">
        <v>2000000</v>
      </c>
      <c r="L9" s="293">
        <f>SUMIF('[1]khan10-12'!$G$18:$G$27,A9,'[1]khan10-12'!$H$18:$H$27)</f>
        <v>1000000</v>
      </c>
      <c r="M9" s="222">
        <v>2000000</v>
      </c>
      <c r="N9" s="222">
        <f t="shared" si="1"/>
        <v>23300000</v>
      </c>
      <c r="O9" s="223">
        <f>+'[1]TDBM mnt'!N9</f>
        <v>9500000</v>
      </c>
      <c r="P9" s="226"/>
      <c r="Q9" s="226"/>
      <c r="R9" s="195">
        <f t="shared" si="2"/>
        <v>32800000</v>
      </c>
      <c r="S9" s="196" t="s">
        <v>87</v>
      </c>
    </row>
    <row r="10" spans="1:20" s="196" customFormat="1" ht="15.75" thickBot="1">
      <c r="A10" s="237" t="s">
        <v>612</v>
      </c>
      <c r="B10" s="238"/>
      <c r="C10" s="239"/>
      <c r="D10" s="238"/>
      <c r="E10" s="239"/>
      <c r="F10" s="239"/>
      <c r="G10" s="240"/>
      <c r="H10" s="241">
        <v>0</v>
      </c>
      <c r="I10" s="239">
        <v>0</v>
      </c>
      <c r="J10" s="239">
        <v>0</v>
      </c>
      <c r="K10" s="239">
        <v>0</v>
      </c>
      <c r="L10" s="239">
        <v>0</v>
      </c>
      <c r="M10" s="239">
        <v>0</v>
      </c>
      <c r="N10" s="239">
        <f t="shared" si="1"/>
        <v>0</v>
      </c>
      <c r="O10" s="242"/>
      <c r="P10" s="243">
        <f>+'[1]TDBM USD'!H11+'[1]TDBM USD'!H13+'[1]TDBM USD'!H16</f>
        <v>59764883.801500008</v>
      </c>
      <c r="Q10" s="243"/>
      <c r="R10" s="244">
        <f t="shared" si="2"/>
        <v>59764883.801500008</v>
      </c>
      <c r="S10" s="196" t="s">
        <v>79</v>
      </c>
      <c r="T10" s="196" t="s">
        <v>798</v>
      </c>
    </row>
    <row r="11" spans="1:20" s="196" customFormat="1" ht="15.75" thickTop="1">
      <c r="A11" s="249" t="s">
        <v>613</v>
      </c>
      <c r="B11" s="250"/>
      <c r="C11" s="251"/>
      <c r="D11" s="250"/>
      <c r="E11" s="252"/>
      <c r="F11" s="252"/>
      <c r="G11" s="252"/>
      <c r="H11" s="253">
        <v>0</v>
      </c>
      <c r="I11" s="252">
        <v>0</v>
      </c>
      <c r="J11" s="252">
        <v>0</v>
      </c>
      <c r="K11" s="252">
        <v>0</v>
      </c>
      <c r="L11" s="252">
        <v>0</v>
      </c>
      <c r="M11" s="252">
        <v>0</v>
      </c>
      <c r="N11" s="250">
        <f>SUM(B11:M11)</f>
        <v>0</v>
      </c>
      <c r="O11" s="254"/>
      <c r="P11" s="255"/>
      <c r="Q11" s="256"/>
      <c r="R11" s="257">
        <f t="shared" si="2"/>
        <v>0</v>
      </c>
      <c r="T11" s="292">
        <f>+R10+Bor!K19</f>
        <v>67334383.801500008</v>
      </c>
    </row>
    <row r="12" spans="1:20" s="196" customFormat="1" ht="15">
      <c r="A12" s="198" t="s">
        <v>614</v>
      </c>
      <c r="B12" s="197"/>
      <c r="C12" s="229"/>
      <c r="D12" s="197"/>
      <c r="E12" s="230">
        <v>5216837.55</v>
      </c>
      <c r="F12" s="230"/>
      <c r="G12" s="230"/>
      <c r="H12" s="231">
        <v>2132000</v>
      </c>
      <c r="I12" s="230">
        <v>10500.93</v>
      </c>
      <c r="J12" s="230">
        <v>0</v>
      </c>
      <c r="K12" s="230">
        <v>0</v>
      </c>
      <c r="L12" s="230">
        <v>10600</v>
      </c>
      <c r="M12" s="230">
        <v>0</v>
      </c>
      <c r="N12" s="197">
        <f>SUM(B12:M12)</f>
        <v>7369938.4799999995</v>
      </c>
      <c r="O12" s="232"/>
      <c r="P12" s="233"/>
      <c r="Q12" s="234"/>
      <c r="R12" s="235">
        <f t="shared" si="2"/>
        <v>7369938.4799999995</v>
      </c>
      <c r="S12" s="196" t="s">
        <v>82</v>
      </c>
    </row>
    <row r="13" spans="1:20" ht="15">
      <c r="A13" s="199" t="s">
        <v>615</v>
      </c>
      <c r="B13" s="197">
        <v>5925360</v>
      </c>
      <c r="C13" s="230"/>
      <c r="D13" s="197"/>
      <c r="E13" s="230"/>
      <c r="F13" s="230"/>
      <c r="G13" s="230"/>
      <c r="H13" s="231">
        <v>0</v>
      </c>
      <c r="I13" s="230">
        <v>0</v>
      </c>
      <c r="J13" s="230">
        <v>0</v>
      </c>
      <c r="K13" s="230">
        <v>0</v>
      </c>
      <c r="L13" s="230">
        <v>0</v>
      </c>
      <c r="M13" s="230">
        <v>0</v>
      </c>
      <c r="N13" s="197">
        <f t="shared" ref="N13:N34" si="3">SUM(B13:M13)</f>
        <v>5925360</v>
      </c>
      <c r="O13" s="232">
        <f>+'[1]TDBM mnt'!N17+'[1]TDBM mnt'!N18+'[1]TDBM mnt'!N20</f>
        <v>12126960</v>
      </c>
      <c r="P13" s="234"/>
      <c r="Q13" s="234"/>
      <c r="R13" s="235">
        <f t="shared" si="2"/>
        <v>18052320</v>
      </c>
      <c r="S13" s="196" t="s">
        <v>82</v>
      </c>
    </row>
    <row r="14" spans="1:20" ht="15">
      <c r="A14" s="199" t="s">
        <v>616</v>
      </c>
      <c r="B14" s="197">
        <v>1180490.42</v>
      </c>
      <c r="C14" s="230"/>
      <c r="D14" s="197">
        <v>1292475</v>
      </c>
      <c r="E14" s="230">
        <v>1899845.45</v>
      </c>
      <c r="F14" s="230">
        <v>1113795.07</v>
      </c>
      <c r="G14" s="230">
        <v>718344.07</v>
      </c>
      <c r="H14" s="231">
        <v>718344</v>
      </c>
      <c r="I14" s="230">
        <v>718344</v>
      </c>
      <c r="J14" s="230">
        <v>718344</v>
      </c>
      <c r="K14" s="230">
        <v>687112</v>
      </c>
      <c r="L14" s="230">
        <v>718344</v>
      </c>
      <c r="M14" s="230">
        <v>718344</v>
      </c>
      <c r="N14" s="197">
        <f t="shared" si="3"/>
        <v>10483782.010000002</v>
      </c>
      <c r="O14" s="232">
        <f>+'[1]TDBM mnt'!N22</f>
        <v>1831425</v>
      </c>
      <c r="P14" s="234"/>
      <c r="Q14" s="234"/>
      <c r="R14" s="235">
        <f t="shared" si="2"/>
        <v>12315207.010000002</v>
      </c>
      <c r="S14" s="1" t="s">
        <v>80</v>
      </c>
    </row>
    <row r="15" spans="1:20" ht="15">
      <c r="A15" s="199" t="s">
        <v>617</v>
      </c>
      <c r="B15" s="197"/>
      <c r="C15" s="230"/>
      <c r="D15" s="197"/>
      <c r="E15" s="230"/>
      <c r="F15" s="230"/>
      <c r="G15" s="230"/>
      <c r="H15" s="231"/>
      <c r="I15" s="230"/>
      <c r="J15" s="230"/>
      <c r="K15" s="230"/>
      <c r="L15" s="230"/>
      <c r="M15" s="230"/>
      <c r="N15" s="197"/>
      <c r="O15" s="232">
        <f>+'[1]TDBM mnt'!N19+'[1]TDBM mnt'!N21</f>
        <v>19161438.509999998</v>
      </c>
      <c r="P15" s="234"/>
      <c r="Q15" s="234"/>
      <c r="R15" s="235">
        <f t="shared" si="2"/>
        <v>19161438.509999998</v>
      </c>
      <c r="S15" s="196" t="s">
        <v>82</v>
      </c>
    </row>
    <row r="16" spans="1:20" ht="15">
      <c r="A16" s="199" t="s">
        <v>618</v>
      </c>
      <c r="B16" s="197"/>
      <c r="C16" s="230"/>
      <c r="D16" s="197"/>
      <c r="E16" s="230"/>
      <c r="F16" s="230"/>
      <c r="G16" s="230"/>
      <c r="H16" s="231">
        <v>0</v>
      </c>
      <c r="I16" s="230">
        <v>0</v>
      </c>
      <c r="J16" s="230">
        <v>3000000</v>
      </c>
      <c r="K16" s="230">
        <v>0</v>
      </c>
      <c r="L16" s="230">
        <v>0</v>
      </c>
      <c r="M16" s="230">
        <v>1000000</v>
      </c>
      <c r="N16" s="197">
        <f t="shared" si="3"/>
        <v>4000000</v>
      </c>
      <c r="O16" s="232"/>
      <c r="P16" s="234"/>
      <c r="Q16" s="234"/>
      <c r="R16" s="235">
        <f t="shared" si="2"/>
        <v>4000000</v>
      </c>
      <c r="S16" s="1" t="s">
        <v>81</v>
      </c>
    </row>
    <row r="17" spans="1:19" ht="15">
      <c r="A17" s="199" t="s">
        <v>619</v>
      </c>
      <c r="B17" s="197"/>
      <c r="C17" s="230"/>
      <c r="D17" s="197"/>
      <c r="E17" s="230"/>
      <c r="F17" s="230"/>
      <c r="G17" s="230"/>
      <c r="H17" s="231">
        <v>0</v>
      </c>
      <c r="I17" s="230">
        <v>0</v>
      </c>
      <c r="J17" s="230">
        <v>0</v>
      </c>
      <c r="K17" s="230">
        <v>0</v>
      </c>
      <c r="L17" s="230">
        <v>0</v>
      </c>
      <c r="M17" s="230">
        <v>0</v>
      </c>
      <c r="N17" s="197">
        <f t="shared" si="3"/>
        <v>0</v>
      </c>
      <c r="O17" s="232"/>
      <c r="P17" s="234"/>
      <c r="Q17" s="234"/>
      <c r="R17" s="235">
        <f t="shared" si="2"/>
        <v>0</v>
      </c>
    </row>
    <row r="18" spans="1:19" ht="15">
      <c r="A18" s="199" t="s">
        <v>620</v>
      </c>
      <c r="B18" s="197"/>
      <c r="C18" s="230"/>
      <c r="D18" s="197"/>
      <c r="E18" s="230"/>
      <c r="F18" s="230"/>
      <c r="G18" s="230"/>
      <c r="H18" s="231"/>
      <c r="I18" s="230">
        <v>0</v>
      </c>
      <c r="J18" s="230">
        <v>1800000</v>
      </c>
      <c r="K18" s="230">
        <v>0</v>
      </c>
      <c r="L18" s="230">
        <v>0</v>
      </c>
      <c r="M18" s="230">
        <v>0</v>
      </c>
      <c r="N18" s="197">
        <f t="shared" si="3"/>
        <v>1800000</v>
      </c>
      <c r="O18" s="232"/>
      <c r="P18" s="234"/>
      <c r="Q18" s="234"/>
      <c r="R18" s="235">
        <f t="shared" si="2"/>
        <v>1800000</v>
      </c>
      <c r="S18" s="1" t="s">
        <v>88</v>
      </c>
    </row>
    <row r="19" spans="1:19" ht="15">
      <c r="A19" s="199" t="s">
        <v>621</v>
      </c>
      <c r="B19" s="197"/>
      <c r="C19" s="230"/>
      <c r="D19" s="197"/>
      <c r="E19" s="230"/>
      <c r="F19" s="230"/>
      <c r="G19" s="230"/>
      <c r="H19" s="231"/>
      <c r="I19" s="230">
        <v>0</v>
      </c>
      <c r="J19" s="230">
        <v>1980000</v>
      </c>
      <c r="K19" s="230">
        <v>1980000</v>
      </c>
      <c r="L19" s="230">
        <v>1980000</v>
      </c>
      <c r="M19" s="230">
        <v>1980000</v>
      </c>
      <c r="N19" s="197">
        <f t="shared" si="3"/>
        <v>7920000</v>
      </c>
      <c r="O19" s="232"/>
      <c r="P19" s="234"/>
      <c r="Q19" s="234"/>
      <c r="R19" s="235">
        <f t="shared" si="2"/>
        <v>7920000</v>
      </c>
      <c r="S19" s="1" t="s">
        <v>86</v>
      </c>
    </row>
    <row r="20" spans="1:19" ht="15">
      <c r="A20" s="199" t="s">
        <v>622</v>
      </c>
      <c r="B20" s="197"/>
      <c r="C20" s="230"/>
      <c r="D20" s="197"/>
      <c r="E20" s="230"/>
      <c r="F20" s="230"/>
      <c r="G20" s="230"/>
      <c r="H20" s="231"/>
      <c r="I20" s="230"/>
      <c r="J20" s="230">
        <v>0</v>
      </c>
      <c r="K20" s="230">
        <v>0</v>
      </c>
      <c r="L20" s="230">
        <v>191400</v>
      </c>
      <c r="M20" s="230">
        <v>0</v>
      </c>
      <c r="N20" s="197">
        <f t="shared" si="3"/>
        <v>191400</v>
      </c>
      <c r="O20" s="232"/>
      <c r="P20" s="234"/>
      <c r="Q20" s="234"/>
      <c r="R20" s="235">
        <f t="shared" si="2"/>
        <v>191400</v>
      </c>
      <c r="S20" s="1" t="s">
        <v>86</v>
      </c>
    </row>
    <row r="21" spans="1:19" ht="15">
      <c r="A21" s="199" t="s">
        <v>623</v>
      </c>
      <c r="B21" s="197">
        <v>6000000</v>
      </c>
      <c r="C21" s="230"/>
      <c r="D21" s="197">
        <v>1000000</v>
      </c>
      <c r="E21" s="230">
        <v>1000000</v>
      </c>
      <c r="F21" s="230">
        <v>500000</v>
      </c>
      <c r="G21" s="230"/>
      <c r="H21" s="231">
        <v>0</v>
      </c>
      <c r="I21" s="230">
        <v>42500</v>
      </c>
      <c r="J21" s="230">
        <v>84500</v>
      </c>
      <c r="K21" s="230">
        <v>0</v>
      </c>
      <c r="L21" s="230">
        <v>0</v>
      </c>
      <c r="M21" s="230">
        <v>0</v>
      </c>
      <c r="N21" s="197">
        <f t="shared" si="3"/>
        <v>8627000</v>
      </c>
      <c r="O21" s="232">
        <v>1000000</v>
      </c>
      <c r="P21" s="234">
        <v>12850440</v>
      </c>
      <c r="Q21" s="234"/>
      <c r="R21" s="235">
        <f t="shared" si="2"/>
        <v>22477440</v>
      </c>
      <c r="S21" s="1" t="s">
        <v>86</v>
      </c>
    </row>
    <row r="22" spans="1:19" ht="15">
      <c r="A22" s="199" t="s">
        <v>624</v>
      </c>
      <c r="B22" s="197"/>
      <c r="C22" s="230"/>
      <c r="D22" s="197"/>
      <c r="E22" s="230"/>
      <c r="F22" s="230"/>
      <c r="G22" s="230"/>
      <c r="H22" s="231"/>
      <c r="I22" s="230"/>
      <c r="J22" s="230"/>
      <c r="K22" s="230"/>
      <c r="L22" s="230"/>
      <c r="M22" s="230"/>
      <c r="N22" s="197"/>
      <c r="O22" s="232">
        <v>100000</v>
      </c>
      <c r="P22" s="234">
        <f>+'[1]TDBM USD'!I17</f>
        <v>47109400</v>
      </c>
      <c r="Q22" s="234"/>
      <c r="R22" s="248">
        <f t="shared" si="2"/>
        <v>47209400</v>
      </c>
    </row>
    <row r="23" spans="1:19" ht="15">
      <c r="A23" s="199" t="s">
        <v>625</v>
      </c>
      <c r="B23" s="197">
        <v>2000</v>
      </c>
      <c r="C23" s="230">
        <v>2000</v>
      </c>
      <c r="D23" s="197">
        <v>2000</v>
      </c>
      <c r="E23" s="230">
        <v>17000</v>
      </c>
      <c r="F23" s="230">
        <v>2000</v>
      </c>
      <c r="G23" s="230">
        <v>2000</v>
      </c>
      <c r="H23" s="231">
        <v>2000</v>
      </c>
      <c r="I23" s="230">
        <v>2000</v>
      </c>
      <c r="J23" s="230">
        <v>2000</v>
      </c>
      <c r="K23" s="230">
        <v>2000</v>
      </c>
      <c r="L23" s="230">
        <v>2000</v>
      </c>
      <c r="M23" s="230">
        <v>2000</v>
      </c>
      <c r="N23" s="197">
        <f t="shared" si="3"/>
        <v>39000</v>
      </c>
      <c r="O23" s="232">
        <f>+'[1]TDBM mnt'!N27</f>
        <v>13049.990000011341</v>
      </c>
      <c r="P23" s="234">
        <f>+'[1]TDBM USD'!I21</f>
        <v>95292.3</v>
      </c>
      <c r="Q23" s="234">
        <v>2400</v>
      </c>
      <c r="R23" s="235">
        <f>+'[1]khan netgel 25.01-12'!$R$23</f>
        <v>198942.29000001133</v>
      </c>
      <c r="S23" s="1" t="s">
        <v>86</v>
      </c>
    </row>
    <row r="24" spans="1:19" ht="15">
      <c r="A24" s="199" t="s">
        <v>626</v>
      </c>
      <c r="B24" s="197">
        <v>14300</v>
      </c>
      <c r="C24" s="230"/>
      <c r="D24" s="197"/>
      <c r="E24" s="230"/>
      <c r="F24" s="230">
        <v>151800</v>
      </c>
      <c r="G24" s="230"/>
      <c r="H24" s="231">
        <v>0</v>
      </c>
      <c r="I24" s="230">
        <v>0</v>
      </c>
      <c r="J24" s="230">
        <v>0</v>
      </c>
      <c r="K24" s="230">
        <v>0</v>
      </c>
      <c r="L24" s="230">
        <v>0</v>
      </c>
      <c r="M24" s="230">
        <v>0</v>
      </c>
      <c r="N24" s="197">
        <f t="shared" si="3"/>
        <v>166100</v>
      </c>
      <c r="O24" s="232"/>
      <c r="P24" s="234"/>
      <c r="Q24" s="234"/>
      <c r="R24" s="235">
        <f t="shared" si="2"/>
        <v>166100</v>
      </c>
      <c r="S24" s="1" t="s">
        <v>86</v>
      </c>
    </row>
    <row r="25" spans="1:19" ht="15">
      <c r="A25" s="199" t="s">
        <v>627</v>
      </c>
      <c r="B25" s="197"/>
      <c r="C25" s="230"/>
      <c r="D25" s="197">
        <v>30000</v>
      </c>
      <c r="E25" s="230"/>
      <c r="F25" s="230"/>
      <c r="G25" s="230"/>
      <c r="H25" s="231">
        <v>0</v>
      </c>
      <c r="I25" s="230">
        <v>0</v>
      </c>
      <c r="J25" s="230">
        <v>0</v>
      </c>
      <c r="K25" s="230">
        <v>0</v>
      </c>
      <c r="L25" s="230">
        <v>0</v>
      </c>
      <c r="M25" s="230">
        <v>0</v>
      </c>
      <c r="N25" s="197">
        <f t="shared" si="3"/>
        <v>30000</v>
      </c>
      <c r="O25" s="232"/>
      <c r="P25" s="234"/>
      <c r="Q25" s="234"/>
      <c r="R25" s="235">
        <f t="shared" si="2"/>
        <v>30000</v>
      </c>
      <c r="S25" s="1" t="s">
        <v>84</v>
      </c>
    </row>
    <row r="26" spans="1:19" ht="15">
      <c r="A26" s="199" t="s">
        <v>628</v>
      </c>
      <c r="B26" s="197">
        <v>49000000</v>
      </c>
      <c r="C26" s="230"/>
      <c r="D26" s="197"/>
      <c r="E26" s="230">
        <v>10000000</v>
      </c>
      <c r="F26" s="234">
        <v>11200000</v>
      </c>
      <c r="G26" s="230">
        <v>20000000</v>
      </c>
      <c r="H26" s="231">
        <v>13000000</v>
      </c>
      <c r="I26" s="230">
        <v>21200000</v>
      </c>
      <c r="J26" s="230">
        <v>28000000</v>
      </c>
      <c r="K26" s="230">
        <v>12500000</v>
      </c>
      <c r="L26" s="230">
        <v>11000000</v>
      </c>
      <c r="M26" s="230">
        <v>17950000</v>
      </c>
      <c r="N26" s="197">
        <f t="shared" si="3"/>
        <v>193850000</v>
      </c>
      <c r="O26" s="232">
        <f>+'[1]TDBM mnt'!N13</f>
        <v>7300000</v>
      </c>
      <c r="P26" s="234"/>
      <c r="Q26" s="234">
        <f>+[1]Golomt!H10</f>
        <v>8160000</v>
      </c>
      <c r="R26" s="235">
        <f t="shared" si="2"/>
        <v>209310000</v>
      </c>
      <c r="S26" s="1" t="s">
        <v>88</v>
      </c>
    </row>
    <row r="27" spans="1:19" ht="15">
      <c r="A27" s="199" t="s">
        <v>629</v>
      </c>
      <c r="B27" s="197">
        <v>6000000</v>
      </c>
      <c r="C27" s="230"/>
      <c r="D27" s="197"/>
      <c r="E27" s="230">
        <v>5000000</v>
      </c>
      <c r="F27" s="230"/>
      <c r="G27" s="230"/>
      <c r="H27" s="231">
        <v>0</v>
      </c>
      <c r="I27" s="230">
        <v>0</v>
      </c>
      <c r="J27" s="230">
        <v>0</v>
      </c>
      <c r="K27" s="230">
        <v>0</v>
      </c>
      <c r="L27" s="230">
        <v>0</v>
      </c>
      <c r="M27" s="230">
        <v>0</v>
      </c>
      <c r="N27" s="197">
        <f t="shared" si="3"/>
        <v>11000000</v>
      </c>
      <c r="O27" s="232">
        <f>+'[1]TDBM mnt'!N14</f>
        <v>5000000</v>
      </c>
      <c r="P27" s="234"/>
      <c r="Q27" s="234"/>
      <c r="R27" s="235">
        <f t="shared" si="2"/>
        <v>16000000</v>
      </c>
      <c r="S27" s="1" t="s">
        <v>88</v>
      </c>
    </row>
    <row r="28" spans="1:19" ht="15">
      <c r="A28" s="199" t="s">
        <v>630</v>
      </c>
      <c r="B28" s="197"/>
      <c r="C28" s="230"/>
      <c r="D28" s="197">
        <v>1000000</v>
      </c>
      <c r="E28" s="230"/>
      <c r="F28" s="230"/>
      <c r="G28" s="236"/>
      <c r="H28" s="231">
        <v>0</v>
      </c>
      <c r="I28" s="230">
        <v>0</v>
      </c>
      <c r="J28" s="230">
        <v>0</v>
      </c>
      <c r="K28" s="230">
        <v>0</v>
      </c>
      <c r="L28" s="230">
        <v>0</v>
      </c>
      <c r="M28" s="230">
        <v>0</v>
      </c>
      <c r="N28" s="197">
        <f t="shared" si="3"/>
        <v>1000000</v>
      </c>
      <c r="O28" s="232">
        <f>+'[1]TDBM mnt'!N15</f>
        <v>10000000</v>
      </c>
      <c r="P28" s="234"/>
      <c r="Q28" s="234"/>
      <c r="R28" s="235">
        <f t="shared" si="2"/>
        <v>11000000</v>
      </c>
      <c r="S28" s="1" t="s">
        <v>88</v>
      </c>
    </row>
    <row r="29" spans="1:19" ht="15">
      <c r="A29" s="200" t="s">
        <v>631</v>
      </c>
      <c r="B29" s="197"/>
      <c r="C29" s="230"/>
      <c r="D29" s="197">
        <v>7000000</v>
      </c>
      <c r="E29" s="230">
        <v>2500000</v>
      </c>
      <c r="F29" s="230"/>
      <c r="G29" s="236"/>
      <c r="H29" s="231">
        <v>0</v>
      </c>
      <c r="I29" s="230">
        <v>0</v>
      </c>
      <c r="J29" s="230">
        <v>0</v>
      </c>
      <c r="K29" s="230">
        <v>0</v>
      </c>
      <c r="L29" s="230">
        <v>0</v>
      </c>
      <c r="M29" s="230">
        <v>0</v>
      </c>
      <c r="N29" s="197">
        <f t="shared" si="3"/>
        <v>9500000</v>
      </c>
      <c r="O29" s="230"/>
      <c r="P29" s="234"/>
      <c r="Q29" s="234"/>
      <c r="R29" s="235">
        <f t="shared" si="2"/>
        <v>9500000</v>
      </c>
      <c r="S29" s="1" t="s">
        <v>88</v>
      </c>
    </row>
    <row r="30" spans="1:19" ht="15">
      <c r="A30" s="200" t="s">
        <v>10</v>
      </c>
      <c r="B30" s="197"/>
      <c r="C30" s="230"/>
      <c r="D30" s="197">
        <v>2500000</v>
      </c>
      <c r="E30" s="230"/>
      <c r="F30" s="230"/>
      <c r="G30" s="236">
        <v>5500000</v>
      </c>
      <c r="H30" s="231">
        <v>0</v>
      </c>
      <c r="I30" s="230">
        <v>0</v>
      </c>
      <c r="J30" s="230">
        <v>0</v>
      </c>
      <c r="K30" s="230">
        <v>2900000</v>
      </c>
      <c r="L30" s="230">
        <v>926640</v>
      </c>
      <c r="M30" s="230">
        <v>0</v>
      </c>
      <c r="N30" s="197">
        <f t="shared" si="3"/>
        <v>11826640</v>
      </c>
      <c r="O30" s="230">
        <v>300000</v>
      </c>
      <c r="P30" s="234"/>
      <c r="Q30" s="234"/>
      <c r="R30" s="235">
        <f t="shared" si="2"/>
        <v>12126640</v>
      </c>
      <c r="S30" s="1" t="s">
        <v>86</v>
      </c>
    </row>
    <row r="31" spans="1:19" ht="15">
      <c r="A31" s="200" t="s">
        <v>632</v>
      </c>
      <c r="B31" s="197"/>
      <c r="C31" s="230"/>
      <c r="D31" s="197">
        <v>275000</v>
      </c>
      <c r="E31" s="230">
        <v>770000</v>
      </c>
      <c r="F31" s="230"/>
      <c r="G31" s="236"/>
      <c r="H31" s="231">
        <v>0</v>
      </c>
      <c r="I31" s="230">
        <v>0</v>
      </c>
      <c r="J31" s="230">
        <v>3363450</v>
      </c>
      <c r="K31" s="230">
        <v>2242300</v>
      </c>
      <c r="L31" s="230">
        <v>0</v>
      </c>
      <c r="M31" s="230">
        <v>0</v>
      </c>
      <c r="N31" s="197">
        <f t="shared" si="3"/>
        <v>6650750</v>
      </c>
      <c r="O31" s="230"/>
      <c r="P31" s="234"/>
      <c r="Q31" s="234"/>
      <c r="R31" s="235">
        <f t="shared" si="2"/>
        <v>6650750</v>
      </c>
      <c r="S31" s="1" t="s">
        <v>86</v>
      </c>
    </row>
    <row r="32" spans="1:19" ht="15">
      <c r="A32" s="200" t="s">
        <v>633</v>
      </c>
      <c r="B32" s="197"/>
      <c r="C32" s="230"/>
      <c r="D32" s="197">
        <v>20000</v>
      </c>
      <c r="E32" s="230">
        <v>596300</v>
      </c>
      <c r="F32" s="230"/>
      <c r="G32" s="236"/>
      <c r="H32" s="231">
        <v>41000</v>
      </c>
      <c r="I32" s="230">
        <v>0</v>
      </c>
      <c r="J32" s="230">
        <v>0</v>
      </c>
      <c r="K32" s="230">
        <v>0</v>
      </c>
      <c r="L32" s="230">
        <v>0</v>
      </c>
      <c r="M32" s="230">
        <v>0</v>
      </c>
      <c r="N32" s="197">
        <f t="shared" si="3"/>
        <v>657300</v>
      </c>
      <c r="O32" s="230">
        <v>510000</v>
      </c>
      <c r="P32" s="234"/>
      <c r="Q32" s="234"/>
      <c r="R32" s="235">
        <f t="shared" si="2"/>
        <v>1167300</v>
      </c>
      <c r="S32" s="1" t="s">
        <v>86</v>
      </c>
    </row>
    <row r="33" spans="1:21" ht="15">
      <c r="A33" s="200" t="s">
        <v>634</v>
      </c>
      <c r="B33" s="197"/>
      <c r="C33" s="230"/>
      <c r="D33" s="197"/>
      <c r="E33" s="230">
        <v>7409506</v>
      </c>
      <c r="F33" s="230"/>
      <c r="G33" s="236"/>
      <c r="H33" s="231">
        <v>0</v>
      </c>
      <c r="I33" s="230">
        <v>0</v>
      </c>
      <c r="J33" s="230">
        <v>0</v>
      </c>
      <c r="K33" s="230">
        <v>0</v>
      </c>
      <c r="L33" s="230">
        <v>0</v>
      </c>
      <c r="M33" s="230">
        <v>0</v>
      </c>
      <c r="N33" s="197">
        <f t="shared" si="3"/>
        <v>7409506</v>
      </c>
      <c r="O33" s="230"/>
      <c r="P33" s="234"/>
      <c r="Q33" s="234"/>
      <c r="R33" s="235">
        <v>7360306</v>
      </c>
      <c r="S33" s="1" t="s">
        <v>86</v>
      </c>
    </row>
    <row r="34" spans="1:21" ht="15">
      <c r="A34" s="200" t="s">
        <v>635</v>
      </c>
      <c r="B34" s="197"/>
      <c r="C34" s="230"/>
      <c r="D34" s="197"/>
      <c r="E34" s="230"/>
      <c r="F34" s="230"/>
      <c r="G34" s="236"/>
      <c r="H34" s="231">
        <v>0</v>
      </c>
      <c r="I34" s="230">
        <v>0</v>
      </c>
      <c r="J34" s="230">
        <v>0</v>
      </c>
      <c r="K34" s="230">
        <v>0</v>
      </c>
      <c r="L34" s="230">
        <v>0</v>
      </c>
      <c r="M34" s="230">
        <v>221230</v>
      </c>
      <c r="N34" s="197">
        <f t="shared" si="3"/>
        <v>221230</v>
      </c>
      <c r="O34" s="230"/>
      <c r="P34" s="234"/>
      <c r="Q34" s="234"/>
      <c r="R34" s="235">
        <f t="shared" si="2"/>
        <v>221230</v>
      </c>
      <c r="S34" s="1" t="s">
        <v>83</v>
      </c>
    </row>
    <row r="35" spans="1:21" s="203" customFormat="1">
      <c r="A35" s="201" t="s">
        <v>636</v>
      </c>
      <c r="B35" s="202">
        <f>+'[2]01'!G8</f>
        <v>0</v>
      </c>
      <c r="C35" s="201"/>
      <c r="D35" s="202"/>
      <c r="E35" s="201"/>
      <c r="F35" s="201"/>
      <c r="G35" s="201"/>
      <c r="H35" s="201"/>
      <c r="I35" s="201"/>
      <c r="J35" s="201"/>
      <c r="K35" s="201"/>
      <c r="L35" s="201"/>
      <c r="M35" s="201"/>
      <c r="N35" s="201">
        <f>+B35</f>
        <v>0</v>
      </c>
      <c r="O35" s="259">
        <f>+'[1]TDBM mnt'!N31</f>
        <v>65974.660000011325</v>
      </c>
      <c r="P35" s="208">
        <f>+'[1]TDBM USD'!G6</f>
        <v>448155</v>
      </c>
      <c r="Q35" s="259">
        <v>76600</v>
      </c>
      <c r="R35" s="260">
        <f t="shared" si="2"/>
        <v>590729.66000001132</v>
      </c>
    </row>
    <row r="36" spans="1:21">
      <c r="A36" s="204" t="s">
        <v>104</v>
      </c>
      <c r="B36" s="205">
        <f t="shared" ref="B36:P36" si="4">SUM(B4:B10)</f>
        <v>68180000</v>
      </c>
      <c r="C36" s="206">
        <f t="shared" si="4"/>
        <v>0</v>
      </c>
      <c r="D36" s="205">
        <f t="shared" si="4"/>
        <v>13520000</v>
      </c>
      <c r="E36" s="206">
        <f t="shared" si="4"/>
        <v>39331500</v>
      </c>
      <c r="F36" s="206">
        <f t="shared" si="4"/>
        <v>7970000</v>
      </c>
      <c r="G36" s="206">
        <f t="shared" si="4"/>
        <v>31458000</v>
      </c>
      <c r="H36" s="206">
        <f t="shared" si="4"/>
        <v>16150000</v>
      </c>
      <c r="I36" s="206">
        <f t="shared" si="4"/>
        <v>21165000</v>
      </c>
      <c r="J36" s="206">
        <f t="shared" si="4"/>
        <v>34350000</v>
      </c>
      <c r="K36" s="206">
        <f t="shared" si="4"/>
        <v>20090000</v>
      </c>
      <c r="L36" s="206">
        <f t="shared" si="4"/>
        <v>15650000</v>
      </c>
      <c r="M36" s="206">
        <f t="shared" si="4"/>
        <v>21290000</v>
      </c>
      <c r="N36" s="207">
        <f t="shared" si="4"/>
        <v>289154500</v>
      </c>
      <c r="O36" s="207">
        <f t="shared" si="4"/>
        <v>57609400</v>
      </c>
      <c r="P36" s="207">
        <f t="shared" si="4"/>
        <v>59764883.801500008</v>
      </c>
      <c r="Q36" s="207">
        <f>SUM(Q4:Q10)</f>
        <v>17208000</v>
      </c>
      <c r="R36" s="195">
        <f t="shared" si="2"/>
        <v>423736783.80150002</v>
      </c>
    </row>
    <row r="37" spans="1:21">
      <c r="A37" s="204" t="s">
        <v>613</v>
      </c>
      <c r="B37" s="205">
        <f>SUM(B13:B29)</f>
        <v>68122150.420000002</v>
      </c>
      <c r="C37" s="206">
        <f>SUM(C13:C29)</f>
        <v>2000</v>
      </c>
      <c r="D37" s="205">
        <f>SUM(D13:D34)</f>
        <v>13119475</v>
      </c>
      <c r="E37" s="206">
        <f>SUM(E12:E33)</f>
        <v>34409489</v>
      </c>
      <c r="F37" s="206">
        <f>SUM(F12:F33)</f>
        <v>12967595.07</v>
      </c>
      <c r="G37" s="206">
        <f>SUM(G12:G33)</f>
        <v>26220344.07</v>
      </c>
      <c r="H37" s="206">
        <f t="shared" ref="H37:O37" si="5">SUM(H11:H34)</f>
        <v>15893344</v>
      </c>
      <c r="I37" s="206">
        <f t="shared" si="5"/>
        <v>21973344.93</v>
      </c>
      <c r="J37" s="206">
        <f t="shared" si="5"/>
        <v>38948294</v>
      </c>
      <c r="K37" s="206">
        <f t="shared" si="5"/>
        <v>20311412</v>
      </c>
      <c r="L37" s="206">
        <f t="shared" si="5"/>
        <v>14828984</v>
      </c>
      <c r="M37" s="206">
        <f t="shared" si="5"/>
        <v>21871574</v>
      </c>
      <c r="N37" s="207">
        <f>SUM(N11:N34)</f>
        <v>288668006.49000001</v>
      </c>
      <c r="O37" s="207">
        <f t="shared" si="5"/>
        <v>57342873.500000007</v>
      </c>
      <c r="P37" s="207">
        <f>SUM(P11:P34)</f>
        <v>60055132.299999997</v>
      </c>
      <c r="Q37" s="207">
        <f>SUM(Q11:Q34)</f>
        <v>8162400</v>
      </c>
      <c r="R37" s="195">
        <f t="shared" si="2"/>
        <v>414228412.29000002</v>
      </c>
    </row>
    <row r="38" spans="1:21" s="203" customFormat="1">
      <c r="A38" s="201" t="s">
        <v>637</v>
      </c>
      <c r="B38" s="202">
        <f>+B35+B36-B37</f>
        <v>57849.579999998212</v>
      </c>
      <c r="C38" s="201">
        <f>+B38+C36-C37</f>
        <v>55849.579999998212</v>
      </c>
      <c r="D38" s="202">
        <f t="shared" ref="D38:M38" si="6">+C38+D36-D37</f>
        <v>456374.57999999821</v>
      </c>
      <c r="E38" s="201">
        <f t="shared" si="6"/>
        <v>5378385.5799999982</v>
      </c>
      <c r="F38" s="201">
        <f t="shared" si="6"/>
        <v>380790.50999999791</v>
      </c>
      <c r="G38" s="201">
        <f t="shared" si="6"/>
        <v>5618446.4399999976</v>
      </c>
      <c r="H38" s="201">
        <f>G38+H36-H37</f>
        <v>5875102.4399999976</v>
      </c>
      <c r="I38" s="201">
        <f t="shared" si="6"/>
        <v>5066757.5099999979</v>
      </c>
      <c r="J38" s="201">
        <f t="shared" si="6"/>
        <v>468463.50999999791</v>
      </c>
      <c r="K38" s="201">
        <f t="shared" si="6"/>
        <v>247051.50999999791</v>
      </c>
      <c r="L38" s="201">
        <f t="shared" si="6"/>
        <v>1068067.5099999979</v>
      </c>
      <c r="M38" s="201">
        <f t="shared" si="6"/>
        <v>486493.50999999791</v>
      </c>
      <c r="N38" s="208">
        <f>+N35+N36-N37</f>
        <v>486493.50999999046</v>
      </c>
      <c r="O38" s="208">
        <f t="shared" ref="O38:P38" si="7">+O35+O36-O37</f>
        <v>332501.16000000387</v>
      </c>
      <c r="P38" s="208">
        <f t="shared" si="7"/>
        <v>157906.50150001049</v>
      </c>
      <c r="Q38" s="208">
        <f>+Q35+Q36-Q37</f>
        <v>9122200</v>
      </c>
      <c r="R38" s="260">
        <f>SUM(N38:Q38)</f>
        <v>10099101.171500005</v>
      </c>
    </row>
    <row r="39" spans="1:21">
      <c r="A39" s="209"/>
      <c r="B39" s="210">
        <f>+'[2]01'!G27</f>
        <v>57849.579999998212</v>
      </c>
      <c r="C39" s="203">
        <f>+'[2]02'!G10</f>
        <v>55849.579999998212</v>
      </c>
      <c r="D39" s="210">
        <f>+'[2]03'!G24</f>
        <v>456374.57999999821</v>
      </c>
      <c r="E39" s="203">
        <f>+D38+39331500-34409489</f>
        <v>5378385.5799999982</v>
      </c>
      <c r="F39" s="203">
        <f>+E39+F36-F37</f>
        <v>380790.50999999791</v>
      </c>
      <c r="G39" s="203">
        <f>+'[1]Khan 1-6'!D90</f>
        <v>5618446.4399999976</v>
      </c>
      <c r="H39" s="203">
        <f>+'[1]Khan07-09'!J19</f>
        <v>5875102.4399999976</v>
      </c>
      <c r="I39" s="203">
        <f>+'[1]Khan07-09'!J29</f>
        <v>5066757.5099999979</v>
      </c>
      <c r="J39" s="203">
        <f>+'[1]Khan07-09'!J42</f>
        <v>468463.50999999791</v>
      </c>
      <c r="K39" s="203">
        <f>+'[1]khan10-12'!K17</f>
        <v>247051.50999999046</v>
      </c>
      <c r="L39" s="203">
        <f>+'[1]khan10-12'!K27</f>
        <v>1068067.5099999905</v>
      </c>
      <c r="M39" s="203">
        <f>+'[1]khan10-12'!K42</f>
        <v>486493.50999999046</v>
      </c>
      <c r="N39" s="203"/>
      <c r="O39" s="186">
        <f>+O38-'[1]TDBM mnt'!E35</f>
        <v>3.8999132812023163E-9</v>
      </c>
      <c r="P39" s="186">
        <f>+P38-'[1]TDBM USD'!H23</f>
        <v>0</v>
      </c>
      <c r="Q39" s="211">
        <f>+Q38-[1]Golomt!F15</f>
        <v>0</v>
      </c>
      <c r="R39" s="212">
        <f t="shared" si="2"/>
        <v>3.8999132812023163E-9</v>
      </c>
    </row>
    <row r="40" spans="1:21" s="213" customFormat="1">
      <c r="B40" s="210">
        <f>+B38-B39</f>
        <v>0</v>
      </c>
      <c r="C40" s="214">
        <f t="shared" ref="C40:I40" si="8">+C38-C39</f>
        <v>0</v>
      </c>
      <c r="D40" s="210">
        <f t="shared" si="8"/>
        <v>0</v>
      </c>
      <c r="E40" s="214">
        <f>+E38-E39</f>
        <v>0</v>
      </c>
      <c r="F40" s="214">
        <f t="shared" si="8"/>
        <v>0</v>
      </c>
      <c r="G40" s="214">
        <f>+G38-G39</f>
        <v>0</v>
      </c>
      <c r="H40" s="214">
        <f t="shared" si="8"/>
        <v>0</v>
      </c>
      <c r="I40" s="214">
        <f t="shared" si="8"/>
        <v>0</v>
      </c>
      <c r="J40" s="215">
        <f>+J38-J39</f>
        <v>0</v>
      </c>
      <c r="K40" s="216">
        <f>+K38-K39</f>
        <v>7.4505805969238281E-9</v>
      </c>
      <c r="L40" s="216">
        <f>+L38-L39</f>
        <v>7.4505805969238281E-9</v>
      </c>
      <c r="M40" s="216">
        <f>+M38-M39</f>
        <v>7.4505805969238281E-9</v>
      </c>
      <c r="N40" s="214"/>
      <c r="O40" s="186"/>
      <c r="P40" s="186"/>
      <c r="Q40" s="1"/>
    </row>
    <row r="41" spans="1:21" ht="13.5">
      <c r="I41" s="182"/>
      <c r="T41" s="218"/>
      <c r="U41" s="218"/>
    </row>
    <row r="42" spans="1:21" ht="13.5">
      <c r="T42" s="218"/>
      <c r="U42" s="219"/>
    </row>
  </sheetData>
  <autoFilter ref="A2:I558" xr:uid="{00000000-0001-0000-0000-000000000000}"/>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275D31D-AACB-4729-9052-D26E1835BDE9}">
          <x14:formula1>
            <xm:f>'ST4'!$B$7:$B$51</xm:f>
          </x14:formula1>
          <xm:sqref>S4:S34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5E5DD-D83E-4588-AF52-C6446280A1C1}">
  <sheetPr>
    <tabColor theme="9" tint="-0.249977111117893"/>
    <pageSetUpPr fitToPage="1"/>
  </sheetPr>
  <dimension ref="A1:N66"/>
  <sheetViews>
    <sheetView workbookViewId="0">
      <pane xSplit="2" ySplit="4" topLeftCell="C5" activePane="bottomRight" state="frozen"/>
      <selection activeCell="D17" sqref="D17"/>
      <selection pane="topRight" activeCell="D17" sqref="D17"/>
      <selection pane="bottomLeft" activeCell="D17" sqref="D17"/>
      <selection pane="bottomRight" activeCell="H11" sqref="H11"/>
    </sheetView>
  </sheetViews>
  <sheetFormatPr defaultRowHeight="12.75"/>
  <cols>
    <col min="1" max="1" width="14.85546875" style="1" hidden="1" customWidth="1"/>
    <col min="2" max="2" width="6.7109375" style="1" customWidth="1"/>
    <col min="3" max="3" width="35.28515625" style="1" customWidth="1"/>
    <col min="4" max="5" width="17.7109375" style="4" bestFit="1" customWidth="1"/>
    <col min="6" max="7" width="16.7109375" style="4" bestFit="1" customWidth="1"/>
    <col min="8" max="9" width="17.7109375" style="164" bestFit="1" customWidth="1"/>
    <col min="10" max="10" width="33.28515625" style="152" hidden="1" customWidth="1"/>
    <col min="11" max="11" width="16.28515625" style="1" hidden="1" customWidth="1"/>
    <col min="12" max="12" width="19.140625" style="1" bestFit="1" customWidth="1"/>
    <col min="13" max="13" width="11" style="1" bestFit="1" customWidth="1"/>
    <col min="14" max="239" width="8.85546875" style="1"/>
    <col min="240" max="240" width="41" style="1" customWidth="1"/>
    <col min="241" max="242" width="15.28515625" style="1" bestFit="1" customWidth="1"/>
    <col min="243" max="243" width="16.28515625" style="1" bestFit="1" customWidth="1"/>
    <col min="244" max="244" width="13.7109375" style="1" bestFit="1" customWidth="1"/>
    <col min="245" max="246" width="15.28515625" style="1" bestFit="1" customWidth="1"/>
    <col min="247" max="247" width="16.5703125" style="1" customWidth="1"/>
    <col min="248" max="248" width="17.42578125" style="1" bestFit="1" customWidth="1"/>
    <col min="249" max="249" width="15.85546875" style="1" customWidth="1"/>
    <col min="250" max="250" width="14.5703125" style="1" customWidth="1"/>
    <col min="251" max="495" width="8.85546875" style="1"/>
    <col min="496" max="496" width="41" style="1" customWidth="1"/>
    <col min="497" max="498" width="15.28515625" style="1" bestFit="1" customWidth="1"/>
    <col min="499" max="499" width="16.28515625" style="1" bestFit="1" customWidth="1"/>
    <col min="500" max="500" width="13.7109375" style="1" bestFit="1" customWidth="1"/>
    <col min="501" max="502" width="15.28515625" style="1" bestFit="1" customWidth="1"/>
    <col min="503" max="503" width="16.5703125" style="1" customWidth="1"/>
    <col min="504" max="504" width="17.42578125" style="1" bestFit="1" customWidth="1"/>
    <col min="505" max="505" width="15.85546875" style="1" customWidth="1"/>
    <col min="506" max="506" width="14.5703125" style="1" customWidth="1"/>
    <col min="507" max="751" width="8.85546875" style="1"/>
    <col min="752" max="752" width="41" style="1" customWidth="1"/>
    <col min="753" max="754" width="15.28515625" style="1" bestFit="1" customWidth="1"/>
    <col min="755" max="755" width="16.28515625" style="1" bestFit="1" customWidth="1"/>
    <col min="756" max="756" width="13.7109375" style="1" bestFit="1" customWidth="1"/>
    <col min="757" max="758" width="15.28515625" style="1" bestFit="1" customWidth="1"/>
    <col min="759" max="759" width="16.5703125" style="1" customWidth="1"/>
    <col min="760" max="760" width="17.42578125" style="1" bestFit="1" customWidth="1"/>
    <col min="761" max="761" width="15.85546875" style="1" customWidth="1"/>
    <col min="762" max="762" width="14.5703125" style="1" customWidth="1"/>
    <col min="763" max="1007" width="8.85546875" style="1"/>
    <col min="1008" max="1008" width="41" style="1" customWidth="1"/>
    <col min="1009" max="1010" width="15.28515625" style="1" bestFit="1" customWidth="1"/>
    <col min="1011" max="1011" width="16.28515625" style="1" bestFit="1" customWidth="1"/>
    <col min="1012" max="1012" width="13.7109375" style="1" bestFit="1" customWidth="1"/>
    <col min="1013" max="1014" width="15.28515625" style="1" bestFit="1" customWidth="1"/>
    <col min="1015" max="1015" width="16.5703125" style="1" customWidth="1"/>
    <col min="1016" max="1016" width="17.42578125" style="1" bestFit="1" customWidth="1"/>
    <col min="1017" max="1017" width="15.85546875" style="1" customWidth="1"/>
    <col min="1018" max="1018" width="14.5703125" style="1" customWidth="1"/>
    <col min="1019" max="1263" width="8.85546875" style="1"/>
    <col min="1264" max="1264" width="41" style="1" customWidth="1"/>
    <col min="1265" max="1266" width="15.28515625" style="1" bestFit="1" customWidth="1"/>
    <col min="1267" max="1267" width="16.28515625" style="1" bestFit="1" customWidth="1"/>
    <col min="1268" max="1268" width="13.7109375" style="1" bestFit="1" customWidth="1"/>
    <col min="1269" max="1270" width="15.28515625" style="1" bestFit="1" customWidth="1"/>
    <col min="1271" max="1271" width="16.5703125" style="1" customWidth="1"/>
    <col min="1272" max="1272" width="17.42578125" style="1" bestFit="1" customWidth="1"/>
    <col min="1273" max="1273" width="15.85546875" style="1" customWidth="1"/>
    <col min="1274" max="1274" width="14.5703125" style="1" customWidth="1"/>
    <col min="1275" max="1519" width="8.85546875" style="1"/>
    <col min="1520" max="1520" width="41" style="1" customWidth="1"/>
    <col min="1521" max="1522" width="15.28515625" style="1" bestFit="1" customWidth="1"/>
    <col min="1523" max="1523" width="16.28515625" style="1" bestFit="1" customWidth="1"/>
    <col min="1524" max="1524" width="13.7109375" style="1" bestFit="1" customWidth="1"/>
    <col min="1525" max="1526" width="15.28515625" style="1" bestFit="1" customWidth="1"/>
    <col min="1527" max="1527" width="16.5703125" style="1" customWidth="1"/>
    <col min="1528" max="1528" width="17.42578125" style="1" bestFit="1" customWidth="1"/>
    <col min="1529" max="1529" width="15.85546875" style="1" customWidth="1"/>
    <col min="1530" max="1530" width="14.5703125" style="1" customWidth="1"/>
    <col min="1531" max="1775" width="8.85546875" style="1"/>
    <col min="1776" max="1776" width="41" style="1" customWidth="1"/>
    <col min="1777" max="1778" width="15.28515625" style="1" bestFit="1" customWidth="1"/>
    <col min="1779" max="1779" width="16.28515625" style="1" bestFit="1" customWidth="1"/>
    <col min="1780" max="1780" width="13.7109375" style="1" bestFit="1" customWidth="1"/>
    <col min="1781" max="1782" width="15.28515625" style="1" bestFit="1" customWidth="1"/>
    <col min="1783" max="1783" width="16.5703125" style="1" customWidth="1"/>
    <col min="1784" max="1784" width="17.42578125" style="1" bestFit="1" customWidth="1"/>
    <col min="1785" max="1785" width="15.85546875" style="1" customWidth="1"/>
    <col min="1786" max="1786" width="14.5703125" style="1" customWidth="1"/>
    <col min="1787" max="2031" width="8.85546875" style="1"/>
    <col min="2032" max="2032" width="41" style="1" customWidth="1"/>
    <col min="2033" max="2034" width="15.28515625" style="1" bestFit="1" customWidth="1"/>
    <col min="2035" max="2035" width="16.28515625" style="1" bestFit="1" customWidth="1"/>
    <col min="2036" max="2036" width="13.7109375" style="1" bestFit="1" customWidth="1"/>
    <col min="2037" max="2038" width="15.28515625" style="1" bestFit="1" customWidth="1"/>
    <col min="2039" max="2039" width="16.5703125" style="1" customWidth="1"/>
    <col min="2040" max="2040" width="17.42578125" style="1" bestFit="1" customWidth="1"/>
    <col min="2041" max="2041" width="15.85546875" style="1" customWidth="1"/>
    <col min="2042" max="2042" width="14.5703125" style="1" customWidth="1"/>
    <col min="2043" max="2287" width="8.85546875" style="1"/>
    <col min="2288" max="2288" width="41" style="1" customWidth="1"/>
    <col min="2289" max="2290" width="15.28515625" style="1" bestFit="1" customWidth="1"/>
    <col min="2291" max="2291" width="16.28515625" style="1" bestFit="1" customWidth="1"/>
    <col min="2292" max="2292" width="13.7109375" style="1" bestFit="1" customWidth="1"/>
    <col min="2293" max="2294" width="15.28515625" style="1" bestFit="1" customWidth="1"/>
    <col min="2295" max="2295" width="16.5703125" style="1" customWidth="1"/>
    <col min="2296" max="2296" width="17.42578125" style="1" bestFit="1" customWidth="1"/>
    <col min="2297" max="2297" width="15.85546875" style="1" customWidth="1"/>
    <col min="2298" max="2298" width="14.5703125" style="1" customWidth="1"/>
    <col min="2299" max="2543" width="8.85546875" style="1"/>
    <col min="2544" max="2544" width="41" style="1" customWidth="1"/>
    <col min="2545" max="2546" width="15.28515625" style="1" bestFit="1" customWidth="1"/>
    <col min="2547" max="2547" width="16.28515625" style="1" bestFit="1" customWidth="1"/>
    <col min="2548" max="2548" width="13.7109375" style="1" bestFit="1" customWidth="1"/>
    <col min="2549" max="2550" width="15.28515625" style="1" bestFit="1" customWidth="1"/>
    <col min="2551" max="2551" width="16.5703125" style="1" customWidth="1"/>
    <col min="2552" max="2552" width="17.42578125" style="1" bestFit="1" customWidth="1"/>
    <col min="2553" max="2553" width="15.85546875" style="1" customWidth="1"/>
    <col min="2554" max="2554" width="14.5703125" style="1" customWidth="1"/>
    <col min="2555" max="2799" width="8.85546875" style="1"/>
    <col min="2800" max="2800" width="41" style="1" customWidth="1"/>
    <col min="2801" max="2802" width="15.28515625" style="1" bestFit="1" customWidth="1"/>
    <col min="2803" max="2803" width="16.28515625" style="1" bestFit="1" customWidth="1"/>
    <col min="2804" max="2804" width="13.7109375" style="1" bestFit="1" customWidth="1"/>
    <col min="2805" max="2806" width="15.28515625" style="1" bestFit="1" customWidth="1"/>
    <col min="2807" max="2807" width="16.5703125" style="1" customWidth="1"/>
    <col min="2808" max="2808" width="17.42578125" style="1" bestFit="1" customWidth="1"/>
    <col min="2809" max="2809" width="15.85546875" style="1" customWidth="1"/>
    <col min="2810" max="2810" width="14.5703125" style="1" customWidth="1"/>
    <col min="2811" max="3055" width="8.85546875" style="1"/>
    <col min="3056" max="3056" width="41" style="1" customWidth="1"/>
    <col min="3057" max="3058" width="15.28515625" style="1" bestFit="1" customWidth="1"/>
    <col min="3059" max="3059" width="16.28515625" style="1" bestFit="1" customWidth="1"/>
    <col min="3060" max="3060" width="13.7109375" style="1" bestFit="1" customWidth="1"/>
    <col min="3061" max="3062" width="15.28515625" style="1" bestFit="1" customWidth="1"/>
    <col min="3063" max="3063" width="16.5703125" style="1" customWidth="1"/>
    <col min="3064" max="3064" width="17.42578125" style="1" bestFit="1" customWidth="1"/>
    <col min="3065" max="3065" width="15.85546875" style="1" customWidth="1"/>
    <col min="3066" max="3066" width="14.5703125" style="1" customWidth="1"/>
    <col min="3067" max="3311" width="8.85546875" style="1"/>
    <col min="3312" max="3312" width="41" style="1" customWidth="1"/>
    <col min="3313" max="3314" width="15.28515625" style="1" bestFit="1" customWidth="1"/>
    <col min="3315" max="3315" width="16.28515625" style="1" bestFit="1" customWidth="1"/>
    <col min="3316" max="3316" width="13.7109375" style="1" bestFit="1" customWidth="1"/>
    <col min="3317" max="3318" width="15.28515625" style="1" bestFit="1" customWidth="1"/>
    <col min="3319" max="3319" width="16.5703125" style="1" customWidth="1"/>
    <col min="3320" max="3320" width="17.42578125" style="1" bestFit="1" customWidth="1"/>
    <col min="3321" max="3321" width="15.85546875" style="1" customWidth="1"/>
    <col min="3322" max="3322" width="14.5703125" style="1" customWidth="1"/>
    <col min="3323" max="3567" width="8.85546875" style="1"/>
    <col min="3568" max="3568" width="41" style="1" customWidth="1"/>
    <col min="3569" max="3570" width="15.28515625" style="1" bestFit="1" customWidth="1"/>
    <col min="3571" max="3571" width="16.28515625" style="1" bestFit="1" customWidth="1"/>
    <col min="3572" max="3572" width="13.7109375" style="1" bestFit="1" customWidth="1"/>
    <col min="3573" max="3574" width="15.28515625" style="1" bestFit="1" customWidth="1"/>
    <col min="3575" max="3575" width="16.5703125" style="1" customWidth="1"/>
    <col min="3576" max="3576" width="17.42578125" style="1" bestFit="1" customWidth="1"/>
    <col min="3577" max="3577" width="15.85546875" style="1" customWidth="1"/>
    <col min="3578" max="3578" width="14.5703125" style="1" customWidth="1"/>
    <col min="3579" max="3823" width="8.85546875" style="1"/>
    <col min="3824" max="3824" width="41" style="1" customWidth="1"/>
    <col min="3825" max="3826" width="15.28515625" style="1" bestFit="1" customWidth="1"/>
    <col min="3827" max="3827" width="16.28515625" style="1" bestFit="1" customWidth="1"/>
    <col min="3828" max="3828" width="13.7109375" style="1" bestFit="1" customWidth="1"/>
    <col min="3829" max="3830" width="15.28515625" style="1" bestFit="1" customWidth="1"/>
    <col min="3831" max="3831" width="16.5703125" style="1" customWidth="1"/>
    <col min="3832" max="3832" width="17.42578125" style="1" bestFit="1" customWidth="1"/>
    <col min="3833" max="3833" width="15.85546875" style="1" customWidth="1"/>
    <col min="3834" max="3834" width="14.5703125" style="1" customWidth="1"/>
    <col min="3835" max="4079" width="8.85546875" style="1"/>
    <col min="4080" max="4080" width="41" style="1" customWidth="1"/>
    <col min="4081" max="4082" width="15.28515625" style="1" bestFit="1" customWidth="1"/>
    <col min="4083" max="4083" width="16.28515625" style="1" bestFit="1" customWidth="1"/>
    <col min="4084" max="4084" width="13.7109375" style="1" bestFit="1" customWidth="1"/>
    <col min="4085" max="4086" width="15.28515625" style="1" bestFit="1" customWidth="1"/>
    <col min="4087" max="4087" width="16.5703125" style="1" customWidth="1"/>
    <col min="4088" max="4088" width="17.42578125" style="1" bestFit="1" customWidth="1"/>
    <col min="4089" max="4089" width="15.85546875" style="1" customWidth="1"/>
    <col min="4090" max="4090" width="14.5703125" style="1" customWidth="1"/>
    <col min="4091" max="4335" width="8.85546875" style="1"/>
    <col min="4336" max="4336" width="41" style="1" customWidth="1"/>
    <col min="4337" max="4338" width="15.28515625" style="1" bestFit="1" customWidth="1"/>
    <col min="4339" max="4339" width="16.28515625" style="1" bestFit="1" customWidth="1"/>
    <col min="4340" max="4340" width="13.7109375" style="1" bestFit="1" customWidth="1"/>
    <col min="4341" max="4342" width="15.28515625" style="1" bestFit="1" customWidth="1"/>
    <col min="4343" max="4343" width="16.5703125" style="1" customWidth="1"/>
    <col min="4344" max="4344" width="17.42578125" style="1" bestFit="1" customWidth="1"/>
    <col min="4345" max="4345" width="15.85546875" style="1" customWidth="1"/>
    <col min="4346" max="4346" width="14.5703125" style="1" customWidth="1"/>
    <col min="4347" max="4591" width="8.85546875" style="1"/>
    <col min="4592" max="4592" width="41" style="1" customWidth="1"/>
    <col min="4593" max="4594" width="15.28515625" style="1" bestFit="1" customWidth="1"/>
    <col min="4595" max="4595" width="16.28515625" style="1" bestFit="1" customWidth="1"/>
    <col min="4596" max="4596" width="13.7109375" style="1" bestFit="1" customWidth="1"/>
    <col min="4597" max="4598" width="15.28515625" style="1" bestFit="1" customWidth="1"/>
    <col min="4599" max="4599" width="16.5703125" style="1" customWidth="1"/>
    <col min="4600" max="4600" width="17.42578125" style="1" bestFit="1" customWidth="1"/>
    <col min="4601" max="4601" width="15.85546875" style="1" customWidth="1"/>
    <col min="4602" max="4602" width="14.5703125" style="1" customWidth="1"/>
    <col min="4603" max="4847" width="8.85546875" style="1"/>
    <col min="4848" max="4848" width="41" style="1" customWidth="1"/>
    <col min="4849" max="4850" width="15.28515625" style="1" bestFit="1" customWidth="1"/>
    <col min="4851" max="4851" width="16.28515625" style="1" bestFit="1" customWidth="1"/>
    <col min="4852" max="4852" width="13.7109375" style="1" bestFit="1" customWidth="1"/>
    <col min="4853" max="4854" width="15.28515625" style="1" bestFit="1" customWidth="1"/>
    <col min="4855" max="4855" width="16.5703125" style="1" customWidth="1"/>
    <col min="4856" max="4856" width="17.42578125" style="1" bestFit="1" customWidth="1"/>
    <col min="4857" max="4857" width="15.85546875" style="1" customWidth="1"/>
    <col min="4858" max="4858" width="14.5703125" style="1" customWidth="1"/>
    <col min="4859" max="5103" width="8.85546875" style="1"/>
    <col min="5104" max="5104" width="41" style="1" customWidth="1"/>
    <col min="5105" max="5106" width="15.28515625" style="1" bestFit="1" customWidth="1"/>
    <col min="5107" max="5107" width="16.28515625" style="1" bestFit="1" customWidth="1"/>
    <col min="5108" max="5108" width="13.7109375" style="1" bestFit="1" customWidth="1"/>
    <col min="5109" max="5110" width="15.28515625" style="1" bestFit="1" customWidth="1"/>
    <col min="5111" max="5111" width="16.5703125" style="1" customWidth="1"/>
    <col min="5112" max="5112" width="17.42578125" style="1" bestFit="1" customWidth="1"/>
    <col min="5113" max="5113" width="15.85546875" style="1" customWidth="1"/>
    <col min="5114" max="5114" width="14.5703125" style="1" customWidth="1"/>
    <col min="5115" max="5359" width="8.85546875" style="1"/>
    <col min="5360" max="5360" width="41" style="1" customWidth="1"/>
    <col min="5361" max="5362" width="15.28515625" style="1" bestFit="1" customWidth="1"/>
    <col min="5363" max="5363" width="16.28515625" style="1" bestFit="1" customWidth="1"/>
    <col min="5364" max="5364" width="13.7109375" style="1" bestFit="1" customWidth="1"/>
    <col min="5365" max="5366" width="15.28515625" style="1" bestFit="1" customWidth="1"/>
    <col min="5367" max="5367" width="16.5703125" style="1" customWidth="1"/>
    <col min="5368" max="5368" width="17.42578125" style="1" bestFit="1" customWidth="1"/>
    <col min="5369" max="5369" width="15.85546875" style="1" customWidth="1"/>
    <col min="5370" max="5370" width="14.5703125" style="1" customWidth="1"/>
    <col min="5371" max="5615" width="8.85546875" style="1"/>
    <col min="5616" max="5616" width="41" style="1" customWidth="1"/>
    <col min="5617" max="5618" width="15.28515625" style="1" bestFit="1" customWidth="1"/>
    <col min="5619" max="5619" width="16.28515625" style="1" bestFit="1" customWidth="1"/>
    <col min="5620" max="5620" width="13.7109375" style="1" bestFit="1" customWidth="1"/>
    <col min="5621" max="5622" width="15.28515625" style="1" bestFit="1" customWidth="1"/>
    <col min="5623" max="5623" width="16.5703125" style="1" customWidth="1"/>
    <col min="5624" max="5624" width="17.42578125" style="1" bestFit="1" customWidth="1"/>
    <col min="5625" max="5625" width="15.85546875" style="1" customWidth="1"/>
    <col min="5626" max="5626" width="14.5703125" style="1" customWidth="1"/>
    <col min="5627" max="5871" width="8.85546875" style="1"/>
    <col min="5872" max="5872" width="41" style="1" customWidth="1"/>
    <col min="5873" max="5874" width="15.28515625" style="1" bestFit="1" customWidth="1"/>
    <col min="5875" max="5875" width="16.28515625" style="1" bestFit="1" customWidth="1"/>
    <col min="5876" max="5876" width="13.7109375" style="1" bestFit="1" customWidth="1"/>
    <col min="5877" max="5878" width="15.28515625" style="1" bestFit="1" customWidth="1"/>
    <col min="5879" max="5879" width="16.5703125" style="1" customWidth="1"/>
    <col min="5880" max="5880" width="17.42578125" style="1" bestFit="1" customWidth="1"/>
    <col min="5881" max="5881" width="15.85546875" style="1" customWidth="1"/>
    <col min="5882" max="5882" width="14.5703125" style="1" customWidth="1"/>
    <col min="5883" max="6127" width="8.85546875" style="1"/>
    <col min="6128" max="6128" width="41" style="1" customWidth="1"/>
    <col min="6129" max="6130" width="15.28515625" style="1" bestFit="1" customWidth="1"/>
    <col min="6131" max="6131" width="16.28515625" style="1" bestFit="1" customWidth="1"/>
    <col min="6132" max="6132" width="13.7109375" style="1" bestFit="1" customWidth="1"/>
    <col min="6133" max="6134" width="15.28515625" style="1" bestFit="1" customWidth="1"/>
    <col min="6135" max="6135" width="16.5703125" style="1" customWidth="1"/>
    <col min="6136" max="6136" width="17.42578125" style="1" bestFit="1" customWidth="1"/>
    <col min="6137" max="6137" width="15.85546875" style="1" customWidth="1"/>
    <col min="6138" max="6138" width="14.5703125" style="1" customWidth="1"/>
    <col min="6139" max="6383" width="8.85546875" style="1"/>
    <col min="6384" max="6384" width="41" style="1" customWidth="1"/>
    <col min="6385" max="6386" width="15.28515625" style="1" bestFit="1" customWidth="1"/>
    <col min="6387" max="6387" width="16.28515625" style="1" bestFit="1" customWidth="1"/>
    <col min="6388" max="6388" width="13.7109375" style="1" bestFit="1" customWidth="1"/>
    <col min="6389" max="6390" width="15.28515625" style="1" bestFit="1" customWidth="1"/>
    <col min="6391" max="6391" width="16.5703125" style="1" customWidth="1"/>
    <col min="6392" max="6392" width="17.42578125" style="1" bestFit="1" customWidth="1"/>
    <col min="6393" max="6393" width="15.85546875" style="1" customWidth="1"/>
    <col min="6394" max="6394" width="14.5703125" style="1" customWidth="1"/>
    <col min="6395" max="6639" width="8.85546875" style="1"/>
    <col min="6640" max="6640" width="41" style="1" customWidth="1"/>
    <col min="6641" max="6642" width="15.28515625" style="1" bestFit="1" customWidth="1"/>
    <col min="6643" max="6643" width="16.28515625" style="1" bestFit="1" customWidth="1"/>
    <col min="6644" max="6644" width="13.7109375" style="1" bestFit="1" customWidth="1"/>
    <col min="6645" max="6646" width="15.28515625" style="1" bestFit="1" customWidth="1"/>
    <col min="6647" max="6647" width="16.5703125" style="1" customWidth="1"/>
    <col min="6648" max="6648" width="17.42578125" style="1" bestFit="1" customWidth="1"/>
    <col min="6649" max="6649" width="15.85546875" style="1" customWidth="1"/>
    <col min="6650" max="6650" width="14.5703125" style="1" customWidth="1"/>
    <col min="6651" max="6895" width="8.85546875" style="1"/>
    <col min="6896" max="6896" width="41" style="1" customWidth="1"/>
    <col min="6897" max="6898" width="15.28515625" style="1" bestFit="1" customWidth="1"/>
    <col min="6899" max="6899" width="16.28515625" style="1" bestFit="1" customWidth="1"/>
    <col min="6900" max="6900" width="13.7109375" style="1" bestFit="1" customWidth="1"/>
    <col min="6901" max="6902" width="15.28515625" style="1" bestFit="1" customWidth="1"/>
    <col min="6903" max="6903" width="16.5703125" style="1" customWidth="1"/>
    <col min="6904" max="6904" width="17.42578125" style="1" bestFit="1" customWidth="1"/>
    <col min="6905" max="6905" width="15.85546875" style="1" customWidth="1"/>
    <col min="6906" max="6906" width="14.5703125" style="1" customWidth="1"/>
    <col min="6907" max="7151" width="8.85546875" style="1"/>
    <col min="7152" max="7152" width="41" style="1" customWidth="1"/>
    <col min="7153" max="7154" width="15.28515625" style="1" bestFit="1" customWidth="1"/>
    <col min="7155" max="7155" width="16.28515625" style="1" bestFit="1" customWidth="1"/>
    <col min="7156" max="7156" width="13.7109375" style="1" bestFit="1" customWidth="1"/>
    <col min="7157" max="7158" width="15.28515625" style="1" bestFit="1" customWidth="1"/>
    <col min="7159" max="7159" width="16.5703125" style="1" customWidth="1"/>
    <col min="7160" max="7160" width="17.42578125" style="1" bestFit="1" customWidth="1"/>
    <col min="7161" max="7161" width="15.85546875" style="1" customWidth="1"/>
    <col min="7162" max="7162" width="14.5703125" style="1" customWidth="1"/>
    <col min="7163" max="7407" width="8.85546875" style="1"/>
    <col min="7408" max="7408" width="41" style="1" customWidth="1"/>
    <col min="7409" max="7410" width="15.28515625" style="1" bestFit="1" customWidth="1"/>
    <col min="7411" max="7411" width="16.28515625" style="1" bestFit="1" customWidth="1"/>
    <col min="7412" max="7412" width="13.7109375" style="1" bestFit="1" customWidth="1"/>
    <col min="7413" max="7414" width="15.28515625" style="1" bestFit="1" customWidth="1"/>
    <col min="7415" max="7415" width="16.5703125" style="1" customWidth="1"/>
    <col min="7416" max="7416" width="17.42578125" style="1" bestFit="1" customWidth="1"/>
    <col min="7417" max="7417" width="15.85546875" style="1" customWidth="1"/>
    <col min="7418" max="7418" width="14.5703125" style="1" customWidth="1"/>
    <col min="7419" max="7663" width="8.85546875" style="1"/>
    <col min="7664" max="7664" width="41" style="1" customWidth="1"/>
    <col min="7665" max="7666" width="15.28515625" style="1" bestFit="1" customWidth="1"/>
    <col min="7667" max="7667" width="16.28515625" style="1" bestFit="1" customWidth="1"/>
    <col min="7668" max="7668" width="13.7109375" style="1" bestFit="1" customWidth="1"/>
    <col min="7669" max="7670" width="15.28515625" style="1" bestFit="1" customWidth="1"/>
    <col min="7671" max="7671" width="16.5703125" style="1" customWidth="1"/>
    <col min="7672" max="7672" width="17.42578125" style="1" bestFit="1" customWidth="1"/>
    <col min="7673" max="7673" width="15.85546875" style="1" customWidth="1"/>
    <col min="7674" max="7674" width="14.5703125" style="1" customWidth="1"/>
    <col min="7675" max="7919" width="8.85546875" style="1"/>
    <col min="7920" max="7920" width="41" style="1" customWidth="1"/>
    <col min="7921" max="7922" width="15.28515625" style="1" bestFit="1" customWidth="1"/>
    <col min="7923" max="7923" width="16.28515625" style="1" bestFit="1" customWidth="1"/>
    <col min="7924" max="7924" width="13.7109375" style="1" bestFit="1" customWidth="1"/>
    <col min="7925" max="7926" width="15.28515625" style="1" bestFit="1" customWidth="1"/>
    <col min="7927" max="7927" width="16.5703125" style="1" customWidth="1"/>
    <col min="7928" max="7928" width="17.42578125" style="1" bestFit="1" customWidth="1"/>
    <col min="7929" max="7929" width="15.85546875" style="1" customWidth="1"/>
    <col min="7930" max="7930" width="14.5703125" style="1" customWidth="1"/>
    <col min="7931" max="8175" width="8.85546875" style="1"/>
    <col min="8176" max="8176" width="41" style="1" customWidth="1"/>
    <col min="8177" max="8178" width="15.28515625" style="1" bestFit="1" customWidth="1"/>
    <col min="8179" max="8179" width="16.28515625" style="1" bestFit="1" customWidth="1"/>
    <col min="8180" max="8180" width="13.7109375" style="1" bestFit="1" customWidth="1"/>
    <col min="8181" max="8182" width="15.28515625" style="1" bestFit="1" customWidth="1"/>
    <col min="8183" max="8183" width="16.5703125" style="1" customWidth="1"/>
    <col min="8184" max="8184" width="17.42578125" style="1" bestFit="1" customWidth="1"/>
    <col min="8185" max="8185" width="15.85546875" style="1" customWidth="1"/>
    <col min="8186" max="8186" width="14.5703125" style="1" customWidth="1"/>
    <col min="8187" max="8431" width="8.85546875" style="1"/>
    <col min="8432" max="8432" width="41" style="1" customWidth="1"/>
    <col min="8433" max="8434" width="15.28515625" style="1" bestFit="1" customWidth="1"/>
    <col min="8435" max="8435" width="16.28515625" style="1" bestFit="1" customWidth="1"/>
    <col min="8436" max="8436" width="13.7109375" style="1" bestFit="1" customWidth="1"/>
    <col min="8437" max="8438" width="15.28515625" style="1" bestFit="1" customWidth="1"/>
    <col min="8439" max="8439" width="16.5703125" style="1" customWidth="1"/>
    <col min="8440" max="8440" width="17.42578125" style="1" bestFit="1" customWidth="1"/>
    <col min="8441" max="8441" width="15.85546875" style="1" customWidth="1"/>
    <col min="8442" max="8442" width="14.5703125" style="1" customWidth="1"/>
    <col min="8443" max="8687" width="8.85546875" style="1"/>
    <col min="8688" max="8688" width="41" style="1" customWidth="1"/>
    <col min="8689" max="8690" width="15.28515625" style="1" bestFit="1" customWidth="1"/>
    <col min="8691" max="8691" width="16.28515625" style="1" bestFit="1" customWidth="1"/>
    <col min="8692" max="8692" width="13.7109375" style="1" bestFit="1" customWidth="1"/>
    <col min="8693" max="8694" width="15.28515625" style="1" bestFit="1" customWidth="1"/>
    <col min="8695" max="8695" width="16.5703125" style="1" customWidth="1"/>
    <col min="8696" max="8696" width="17.42578125" style="1" bestFit="1" customWidth="1"/>
    <col min="8697" max="8697" width="15.85546875" style="1" customWidth="1"/>
    <col min="8698" max="8698" width="14.5703125" style="1" customWidth="1"/>
    <col min="8699" max="8943" width="8.85546875" style="1"/>
    <col min="8944" max="8944" width="41" style="1" customWidth="1"/>
    <col min="8945" max="8946" width="15.28515625" style="1" bestFit="1" customWidth="1"/>
    <col min="8947" max="8947" width="16.28515625" style="1" bestFit="1" customWidth="1"/>
    <col min="8948" max="8948" width="13.7109375" style="1" bestFit="1" customWidth="1"/>
    <col min="8949" max="8950" width="15.28515625" style="1" bestFit="1" customWidth="1"/>
    <col min="8951" max="8951" width="16.5703125" style="1" customWidth="1"/>
    <col min="8952" max="8952" width="17.42578125" style="1" bestFit="1" customWidth="1"/>
    <col min="8953" max="8953" width="15.85546875" style="1" customWidth="1"/>
    <col min="8954" max="8954" width="14.5703125" style="1" customWidth="1"/>
    <col min="8955" max="9199" width="8.85546875" style="1"/>
    <col min="9200" max="9200" width="41" style="1" customWidth="1"/>
    <col min="9201" max="9202" width="15.28515625" style="1" bestFit="1" customWidth="1"/>
    <col min="9203" max="9203" width="16.28515625" style="1" bestFit="1" customWidth="1"/>
    <col min="9204" max="9204" width="13.7109375" style="1" bestFit="1" customWidth="1"/>
    <col min="9205" max="9206" width="15.28515625" style="1" bestFit="1" customWidth="1"/>
    <col min="9207" max="9207" width="16.5703125" style="1" customWidth="1"/>
    <col min="9208" max="9208" width="17.42578125" style="1" bestFit="1" customWidth="1"/>
    <col min="9209" max="9209" width="15.85546875" style="1" customWidth="1"/>
    <col min="9210" max="9210" width="14.5703125" style="1" customWidth="1"/>
    <col min="9211" max="9455" width="8.85546875" style="1"/>
    <col min="9456" max="9456" width="41" style="1" customWidth="1"/>
    <col min="9457" max="9458" width="15.28515625" style="1" bestFit="1" customWidth="1"/>
    <col min="9459" max="9459" width="16.28515625" style="1" bestFit="1" customWidth="1"/>
    <col min="9460" max="9460" width="13.7109375" style="1" bestFit="1" customWidth="1"/>
    <col min="9461" max="9462" width="15.28515625" style="1" bestFit="1" customWidth="1"/>
    <col min="9463" max="9463" width="16.5703125" style="1" customWidth="1"/>
    <col min="9464" max="9464" width="17.42578125" style="1" bestFit="1" customWidth="1"/>
    <col min="9465" max="9465" width="15.85546875" style="1" customWidth="1"/>
    <col min="9466" max="9466" width="14.5703125" style="1" customWidth="1"/>
    <col min="9467" max="9711" width="8.85546875" style="1"/>
    <col min="9712" max="9712" width="41" style="1" customWidth="1"/>
    <col min="9713" max="9714" width="15.28515625" style="1" bestFit="1" customWidth="1"/>
    <col min="9715" max="9715" width="16.28515625" style="1" bestFit="1" customWidth="1"/>
    <col min="9716" max="9716" width="13.7109375" style="1" bestFit="1" customWidth="1"/>
    <col min="9717" max="9718" width="15.28515625" style="1" bestFit="1" customWidth="1"/>
    <col min="9719" max="9719" width="16.5703125" style="1" customWidth="1"/>
    <col min="9720" max="9720" width="17.42578125" style="1" bestFit="1" customWidth="1"/>
    <col min="9721" max="9721" width="15.85546875" style="1" customWidth="1"/>
    <col min="9722" max="9722" width="14.5703125" style="1" customWidth="1"/>
    <col min="9723" max="9967" width="8.85546875" style="1"/>
    <col min="9968" max="9968" width="41" style="1" customWidth="1"/>
    <col min="9969" max="9970" width="15.28515625" style="1" bestFit="1" customWidth="1"/>
    <col min="9971" max="9971" width="16.28515625" style="1" bestFit="1" customWidth="1"/>
    <col min="9972" max="9972" width="13.7109375" style="1" bestFit="1" customWidth="1"/>
    <col min="9973" max="9974" width="15.28515625" style="1" bestFit="1" customWidth="1"/>
    <col min="9975" max="9975" width="16.5703125" style="1" customWidth="1"/>
    <col min="9976" max="9976" width="17.42578125" style="1" bestFit="1" customWidth="1"/>
    <col min="9977" max="9977" width="15.85546875" style="1" customWidth="1"/>
    <col min="9978" max="9978" width="14.5703125" style="1" customWidth="1"/>
    <col min="9979" max="10223" width="8.85546875" style="1"/>
    <col min="10224" max="10224" width="41" style="1" customWidth="1"/>
    <col min="10225" max="10226" width="15.28515625" style="1" bestFit="1" customWidth="1"/>
    <col min="10227" max="10227" width="16.28515625" style="1" bestFit="1" customWidth="1"/>
    <col min="10228" max="10228" width="13.7109375" style="1" bestFit="1" customWidth="1"/>
    <col min="10229" max="10230" width="15.28515625" style="1" bestFit="1" customWidth="1"/>
    <col min="10231" max="10231" width="16.5703125" style="1" customWidth="1"/>
    <col min="10232" max="10232" width="17.42578125" style="1" bestFit="1" customWidth="1"/>
    <col min="10233" max="10233" width="15.85546875" style="1" customWidth="1"/>
    <col min="10234" max="10234" width="14.5703125" style="1" customWidth="1"/>
    <col min="10235" max="10479" width="8.85546875" style="1"/>
    <col min="10480" max="10480" width="41" style="1" customWidth="1"/>
    <col min="10481" max="10482" width="15.28515625" style="1" bestFit="1" customWidth="1"/>
    <col min="10483" max="10483" width="16.28515625" style="1" bestFit="1" customWidth="1"/>
    <col min="10484" max="10484" width="13.7109375" style="1" bestFit="1" customWidth="1"/>
    <col min="10485" max="10486" width="15.28515625" style="1" bestFit="1" customWidth="1"/>
    <col min="10487" max="10487" width="16.5703125" style="1" customWidth="1"/>
    <col min="10488" max="10488" width="17.42578125" style="1" bestFit="1" customWidth="1"/>
    <col min="10489" max="10489" width="15.85546875" style="1" customWidth="1"/>
    <col min="10490" max="10490" width="14.5703125" style="1" customWidth="1"/>
    <col min="10491" max="10735" width="8.85546875" style="1"/>
    <col min="10736" max="10736" width="41" style="1" customWidth="1"/>
    <col min="10737" max="10738" width="15.28515625" style="1" bestFit="1" customWidth="1"/>
    <col min="10739" max="10739" width="16.28515625" style="1" bestFit="1" customWidth="1"/>
    <col min="10740" max="10740" width="13.7109375" style="1" bestFit="1" customWidth="1"/>
    <col min="10741" max="10742" width="15.28515625" style="1" bestFit="1" customWidth="1"/>
    <col min="10743" max="10743" width="16.5703125" style="1" customWidth="1"/>
    <col min="10744" max="10744" width="17.42578125" style="1" bestFit="1" customWidth="1"/>
    <col min="10745" max="10745" width="15.85546875" style="1" customWidth="1"/>
    <col min="10746" max="10746" width="14.5703125" style="1" customWidth="1"/>
    <col min="10747" max="10991" width="8.85546875" style="1"/>
    <col min="10992" max="10992" width="41" style="1" customWidth="1"/>
    <col min="10993" max="10994" width="15.28515625" style="1" bestFit="1" customWidth="1"/>
    <col min="10995" max="10995" width="16.28515625" style="1" bestFit="1" customWidth="1"/>
    <col min="10996" max="10996" width="13.7109375" style="1" bestFit="1" customWidth="1"/>
    <col min="10997" max="10998" width="15.28515625" style="1" bestFit="1" customWidth="1"/>
    <col min="10999" max="10999" width="16.5703125" style="1" customWidth="1"/>
    <col min="11000" max="11000" width="17.42578125" style="1" bestFit="1" customWidth="1"/>
    <col min="11001" max="11001" width="15.85546875" style="1" customWidth="1"/>
    <col min="11002" max="11002" width="14.5703125" style="1" customWidth="1"/>
    <col min="11003" max="11247" width="8.85546875" style="1"/>
    <col min="11248" max="11248" width="41" style="1" customWidth="1"/>
    <col min="11249" max="11250" width="15.28515625" style="1" bestFit="1" customWidth="1"/>
    <col min="11251" max="11251" width="16.28515625" style="1" bestFit="1" customWidth="1"/>
    <col min="11252" max="11252" width="13.7109375" style="1" bestFit="1" customWidth="1"/>
    <col min="11253" max="11254" width="15.28515625" style="1" bestFit="1" customWidth="1"/>
    <col min="11255" max="11255" width="16.5703125" style="1" customWidth="1"/>
    <col min="11256" max="11256" width="17.42578125" style="1" bestFit="1" customWidth="1"/>
    <col min="11257" max="11257" width="15.85546875" style="1" customWidth="1"/>
    <col min="11258" max="11258" width="14.5703125" style="1" customWidth="1"/>
    <col min="11259" max="11503" width="8.85546875" style="1"/>
    <col min="11504" max="11504" width="41" style="1" customWidth="1"/>
    <col min="11505" max="11506" width="15.28515625" style="1" bestFit="1" customWidth="1"/>
    <col min="11507" max="11507" width="16.28515625" style="1" bestFit="1" customWidth="1"/>
    <col min="11508" max="11508" width="13.7109375" style="1" bestFit="1" customWidth="1"/>
    <col min="11509" max="11510" width="15.28515625" style="1" bestFit="1" customWidth="1"/>
    <col min="11511" max="11511" width="16.5703125" style="1" customWidth="1"/>
    <col min="11512" max="11512" width="17.42578125" style="1" bestFit="1" customWidth="1"/>
    <col min="11513" max="11513" width="15.85546875" style="1" customWidth="1"/>
    <col min="11514" max="11514" width="14.5703125" style="1" customWidth="1"/>
    <col min="11515" max="11759" width="8.85546875" style="1"/>
    <col min="11760" max="11760" width="41" style="1" customWidth="1"/>
    <col min="11761" max="11762" width="15.28515625" style="1" bestFit="1" customWidth="1"/>
    <col min="11763" max="11763" width="16.28515625" style="1" bestFit="1" customWidth="1"/>
    <col min="11764" max="11764" width="13.7109375" style="1" bestFit="1" customWidth="1"/>
    <col min="11765" max="11766" width="15.28515625" style="1" bestFit="1" customWidth="1"/>
    <col min="11767" max="11767" width="16.5703125" style="1" customWidth="1"/>
    <col min="11768" max="11768" width="17.42578125" style="1" bestFit="1" customWidth="1"/>
    <col min="11769" max="11769" width="15.85546875" style="1" customWidth="1"/>
    <col min="11770" max="11770" width="14.5703125" style="1" customWidth="1"/>
    <col min="11771" max="12015" width="8.85546875" style="1"/>
    <col min="12016" max="12016" width="41" style="1" customWidth="1"/>
    <col min="12017" max="12018" width="15.28515625" style="1" bestFit="1" customWidth="1"/>
    <col min="12019" max="12019" width="16.28515625" style="1" bestFit="1" customWidth="1"/>
    <col min="12020" max="12020" width="13.7109375" style="1" bestFit="1" customWidth="1"/>
    <col min="12021" max="12022" width="15.28515625" style="1" bestFit="1" customWidth="1"/>
    <col min="12023" max="12023" width="16.5703125" style="1" customWidth="1"/>
    <col min="12024" max="12024" width="17.42578125" style="1" bestFit="1" customWidth="1"/>
    <col min="12025" max="12025" width="15.85546875" style="1" customWidth="1"/>
    <col min="12026" max="12026" width="14.5703125" style="1" customWidth="1"/>
    <col min="12027" max="12271" width="8.85546875" style="1"/>
    <col min="12272" max="12272" width="41" style="1" customWidth="1"/>
    <col min="12273" max="12274" width="15.28515625" style="1" bestFit="1" customWidth="1"/>
    <col min="12275" max="12275" width="16.28515625" style="1" bestFit="1" customWidth="1"/>
    <col min="12276" max="12276" width="13.7109375" style="1" bestFit="1" customWidth="1"/>
    <col min="12277" max="12278" width="15.28515625" style="1" bestFit="1" customWidth="1"/>
    <col min="12279" max="12279" width="16.5703125" style="1" customWidth="1"/>
    <col min="12280" max="12280" width="17.42578125" style="1" bestFit="1" customWidth="1"/>
    <col min="12281" max="12281" width="15.85546875" style="1" customWidth="1"/>
    <col min="12282" max="12282" width="14.5703125" style="1" customWidth="1"/>
    <col min="12283" max="12527" width="8.85546875" style="1"/>
    <col min="12528" max="12528" width="41" style="1" customWidth="1"/>
    <col min="12529" max="12530" width="15.28515625" style="1" bestFit="1" customWidth="1"/>
    <col min="12531" max="12531" width="16.28515625" style="1" bestFit="1" customWidth="1"/>
    <col min="12532" max="12532" width="13.7109375" style="1" bestFit="1" customWidth="1"/>
    <col min="12533" max="12534" width="15.28515625" style="1" bestFit="1" customWidth="1"/>
    <col min="12535" max="12535" width="16.5703125" style="1" customWidth="1"/>
    <col min="12536" max="12536" width="17.42578125" style="1" bestFit="1" customWidth="1"/>
    <col min="12537" max="12537" width="15.85546875" style="1" customWidth="1"/>
    <col min="12538" max="12538" width="14.5703125" style="1" customWidth="1"/>
    <col min="12539" max="12783" width="8.85546875" style="1"/>
    <col min="12784" max="12784" width="41" style="1" customWidth="1"/>
    <col min="12785" max="12786" width="15.28515625" style="1" bestFit="1" customWidth="1"/>
    <col min="12787" max="12787" width="16.28515625" style="1" bestFit="1" customWidth="1"/>
    <col min="12788" max="12788" width="13.7109375" style="1" bestFit="1" customWidth="1"/>
    <col min="12789" max="12790" width="15.28515625" style="1" bestFit="1" customWidth="1"/>
    <col min="12791" max="12791" width="16.5703125" style="1" customWidth="1"/>
    <col min="12792" max="12792" width="17.42578125" style="1" bestFit="1" customWidth="1"/>
    <col min="12793" max="12793" width="15.85546875" style="1" customWidth="1"/>
    <col min="12794" max="12794" width="14.5703125" style="1" customWidth="1"/>
    <col min="12795" max="13039" width="8.85546875" style="1"/>
    <col min="13040" max="13040" width="41" style="1" customWidth="1"/>
    <col min="13041" max="13042" width="15.28515625" style="1" bestFit="1" customWidth="1"/>
    <col min="13043" max="13043" width="16.28515625" style="1" bestFit="1" customWidth="1"/>
    <col min="13044" max="13044" width="13.7109375" style="1" bestFit="1" customWidth="1"/>
    <col min="13045" max="13046" width="15.28515625" style="1" bestFit="1" customWidth="1"/>
    <col min="13047" max="13047" width="16.5703125" style="1" customWidth="1"/>
    <col min="13048" max="13048" width="17.42578125" style="1" bestFit="1" customWidth="1"/>
    <col min="13049" max="13049" width="15.85546875" style="1" customWidth="1"/>
    <col min="13050" max="13050" width="14.5703125" style="1" customWidth="1"/>
    <col min="13051" max="13295" width="8.85546875" style="1"/>
    <col min="13296" max="13296" width="41" style="1" customWidth="1"/>
    <col min="13297" max="13298" width="15.28515625" style="1" bestFit="1" customWidth="1"/>
    <col min="13299" max="13299" width="16.28515625" style="1" bestFit="1" customWidth="1"/>
    <col min="13300" max="13300" width="13.7109375" style="1" bestFit="1" customWidth="1"/>
    <col min="13301" max="13302" width="15.28515625" style="1" bestFit="1" customWidth="1"/>
    <col min="13303" max="13303" width="16.5703125" style="1" customWidth="1"/>
    <col min="13304" max="13304" width="17.42578125" style="1" bestFit="1" customWidth="1"/>
    <col min="13305" max="13305" width="15.85546875" style="1" customWidth="1"/>
    <col min="13306" max="13306" width="14.5703125" style="1" customWidth="1"/>
    <col min="13307" max="13551" width="8.85546875" style="1"/>
    <col min="13552" max="13552" width="41" style="1" customWidth="1"/>
    <col min="13553" max="13554" width="15.28515625" style="1" bestFit="1" customWidth="1"/>
    <col min="13555" max="13555" width="16.28515625" style="1" bestFit="1" customWidth="1"/>
    <col min="13556" max="13556" width="13.7109375" style="1" bestFit="1" customWidth="1"/>
    <col min="13557" max="13558" width="15.28515625" style="1" bestFit="1" customWidth="1"/>
    <col min="13559" max="13559" width="16.5703125" style="1" customWidth="1"/>
    <col min="13560" max="13560" width="17.42578125" style="1" bestFit="1" customWidth="1"/>
    <col min="13561" max="13561" width="15.85546875" style="1" customWidth="1"/>
    <col min="13562" max="13562" width="14.5703125" style="1" customWidth="1"/>
    <col min="13563" max="13807" width="8.85546875" style="1"/>
    <col min="13808" max="13808" width="41" style="1" customWidth="1"/>
    <col min="13809" max="13810" width="15.28515625" style="1" bestFit="1" customWidth="1"/>
    <col min="13811" max="13811" width="16.28515625" style="1" bestFit="1" customWidth="1"/>
    <col min="13812" max="13812" width="13.7109375" style="1" bestFit="1" customWidth="1"/>
    <col min="13813" max="13814" width="15.28515625" style="1" bestFit="1" customWidth="1"/>
    <col min="13815" max="13815" width="16.5703125" style="1" customWidth="1"/>
    <col min="13816" max="13816" width="17.42578125" style="1" bestFit="1" customWidth="1"/>
    <col min="13817" max="13817" width="15.85546875" style="1" customWidth="1"/>
    <col min="13818" max="13818" width="14.5703125" style="1" customWidth="1"/>
    <col min="13819" max="14063" width="8.85546875" style="1"/>
    <col min="14064" max="14064" width="41" style="1" customWidth="1"/>
    <col min="14065" max="14066" width="15.28515625" style="1" bestFit="1" customWidth="1"/>
    <col min="14067" max="14067" width="16.28515625" style="1" bestFit="1" customWidth="1"/>
    <col min="14068" max="14068" width="13.7109375" style="1" bestFit="1" customWidth="1"/>
    <col min="14069" max="14070" width="15.28515625" style="1" bestFit="1" customWidth="1"/>
    <col min="14071" max="14071" width="16.5703125" style="1" customWidth="1"/>
    <col min="14072" max="14072" width="17.42578125" style="1" bestFit="1" customWidth="1"/>
    <col min="14073" max="14073" width="15.85546875" style="1" customWidth="1"/>
    <col min="14074" max="14074" width="14.5703125" style="1" customWidth="1"/>
    <col min="14075" max="14319" width="8.85546875" style="1"/>
    <col min="14320" max="14320" width="41" style="1" customWidth="1"/>
    <col min="14321" max="14322" width="15.28515625" style="1" bestFit="1" customWidth="1"/>
    <col min="14323" max="14323" width="16.28515625" style="1" bestFit="1" customWidth="1"/>
    <col min="14324" max="14324" width="13.7109375" style="1" bestFit="1" customWidth="1"/>
    <col min="14325" max="14326" width="15.28515625" style="1" bestFit="1" customWidth="1"/>
    <col min="14327" max="14327" width="16.5703125" style="1" customWidth="1"/>
    <col min="14328" max="14328" width="17.42578125" style="1" bestFit="1" customWidth="1"/>
    <col min="14329" max="14329" width="15.85546875" style="1" customWidth="1"/>
    <col min="14330" max="14330" width="14.5703125" style="1" customWidth="1"/>
    <col min="14331" max="14575" width="8.85546875" style="1"/>
    <col min="14576" max="14576" width="41" style="1" customWidth="1"/>
    <col min="14577" max="14578" width="15.28515625" style="1" bestFit="1" customWidth="1"/>
    <col min="14579" max="14579" width="16.28515625" style="1" bestFit="1" customWidth="1"/>
    <col min="14580" max="14580" width="13.7109375" style="1" bestFit="1" customWidth="1"/>
    <col min="14581" max="14582" width="15.28515625" style="1" bestFit="1" customWidth="1"/>
    <col min="14583" max="14583" width="16.5703125" style="1" customWidth="1"/>
    <col min="14584" max="14584" width="17.42578125" style="1" bestFit="1" customWidth="1"/>
    <col min="14585" max="14585" width="15.85546875" style="1" customWidth="1"/>
    <col min="14586" max="14586" width="14.5703125" style="1" customWidth="1"/>
    <col min="14587" max="14831" width="8.85546875" style="1"/>
    <col min="14832" max="14832" width="41" style="1" customWidth="1"/>
    <col min="14833" max="14834" width="15.28515625" style="1" bestFit="1" customWidth="1"/>
    <col min="14835" max="14835" width="16.28515625" style="1" bestFit="1" customWidth="1"/>
    <col min="14836" max="14836" width="13.7109375" style="1" bestFit="1" customWidth="1"/>
    <col min="14837" max="14838" width="15.28515625" style="1" bestFit="1" customWidth="1"/>
    <col min="14839" max="14839" width="16.5703125" style="1" customWidth="1"/>
    <col min="14840" max="14840" width="17.42578125" style="1" bestFit="1" customWidth="1"/>
    <col min="14841" max="14841" width="15.85546875" style="1" customWidth="1"/>
    <col min="14842" max="14842" width="14.5703125" style="1" customWidth="1"/>
    <col min="14843" max="15087" width="8.85546875" style="1"/>
    <col min="15088" max="15088" width="41" style="1" customWidth="1"/>
    <col min="15089" max="15090" width="15.28515625" style="1" bestFit="1" customWidth="1"/>
    <col min="15091" max="15091" width="16.28515625" style="1" bestFit="1" customWidth="1"/>
    <col min="15092" max="15092" width="13.7109375" style="1" bestFit="1" customWidth="1"/>
    <col min="15093" max="15094" width="15.28515625" style="1" bestFit="1" customWidth="1"/>
    <col min="15095" max="15095" width="16.5703125" style="1" customWidth="1"/>
    <col min="15096" max="15096" width="17.42578125" style="1" bestFit="1" customWidth="1"/>
    <col min="15097" max="15097" width="15.85546875" style="1" customWidth="1"/>
    <col min="15098" max="15098" width="14.5703125" style="1" customWidth="1"/>
    <col min="15099" max="15343" width="8.85546875" style="1"/>
    <col min="15344" max="15344" width="41" style="1" customWidth="1"/>
    <col min="15345" max="15346" width="15.28515625" style="1" bestFit="1" customWidth="1"/>
    <col min="15347" max="15347" width="16.28515625" style="1" bestFit="1" customWidth="1"/>
    <col min="15348" max="15348" width="13.7109375" style="1" bestFit="1" customWidth="1"/>
    <col min="15349" max="15350" width="15.28515625" style="1" bestFit="1" customWidth="1"/>
    <col min="15351" max="15351" width="16.5703125" style="1" customWidth="1"/>
    <col min="15352" max="15352" width="17.42578125" style="1" bestFit="1" customWidth="1"/>
    <col min="15353" max="15353" width="15.85546875" style="1" customWidth="1"/>
    <col min="15354" max="15354" width="14.5703125" style="1" customWidth="1"/>
    <col min="15355" max="15599" width="8.85546875" style="1"/>
    <col min="15600" max="15600" width="41" style="1" customWidth="1"/>
    <col min="15601" max="15602" width="15.28515625" style="1" bestFit="1" customWidth="1"/>
    <col min="15603" max="15603" width="16.28515625" style="1" bestFit="1" customWidth="1"/>
    <col min="15604" max="15604" width="13.7109375" style="1" bestFit="1" customWidth="1"/>
    <col min="15605" max="15606" width="15.28515625" style="1" bestFit="1" customWidth="1"/>
    <col min="15607" max="15607" width="16.5703125" style="1" customWidth="1"/>
    <col min="15608" max="15608" width="17.42578125" style="1" bestFit="1" customWidth="1"/>
    <col min="15609" max="15609" width="15.85546875" style="1" customWidth="1"/>
    <col min="15610" max="15610" width="14.5703125" style="1" customWidth="1"/>
    <col min="15611" max="15855" width="8.85546875" style="1"/>
    <col min="15856" max="15856" width="41" style="1" customWidth="1"/>
    <col min="15857" max="15858" width="15.28515625" style="1" bestFit="1" customWidth="1"/>
    <col min="15859" max="15859" width="16.28515625" style="1" bestFit="1" customWidth="1"/>
    <col min="15860" max="15860" width="13.7109375" style="1" bestFit="1" customWidth="1"/>
    <col min="15861" max="15862" width="15.28515625" style="1" bestFit="1" customWidth="1"/>
    <col min="15863" max="15863" width="16.5703125" style="1" customWidth="1"/>
    <col min="15864" max="15864" width="17.42578125" style="1" bestFit="1" customWidth="1"/>
    <col min="15865" max="15865" width="15.85546875" style="1" customWidth="1"/>
    <col min="15866" max="15866" width="14.5703125" style="1" customWidth="1"/>
    <col min="15867" max="16111" width="8.85546875" style="1"/>
    <col min="16112" max="16112" width="41" style="1" customWidth="1"/>
    <col min="16113" max="16114" width="15.28515625" style="1" bestFit="1" customWidth="1"/>
    <col min="16115" max="16115" width="16.28515625" style="1" bestFit="1" customWidth="1"/>
    <col min="16116" max="16116" width="13.7109375" style="1" bestFit="1" customWidth="1"/>
    <col min="16117" max="16118" width="15.28515625" style="1" bestFit="1" customWidth="1"/>
    <col min="16119" max="16119" width="16.5703125" style="1" customWidth="1"/>
    <col min="16120" max="16120" width="17.42578125" style="1" bestFit="1" customWidth="1"/>
    <col min="16121" max="16121" width="15.85546875" style="1" customWidth="1"/>
    <col min="16122" max="16122" width="14.5703125" style="1" customWidth="1"/>
    <col min="16123" max="16384" width="8.85546875" style="1"/>
  </cols>
  <sheetData>
    <row r="1" spans="1:12">
      <c r="E1" s="151">
        <f>+D65-E65</f>
        <v>-2.9988288879394531E-3</v>
      </c>
      <c r="F1" s="151"/>
      <c r="G1" s="633">
        <f>+F65-G65</f>
        <v>0</v>
      </c>
      <c r="H1" s="151"/>
      <c r="I1" s="151">
        <f>+H65-I65</f>
        <v>-2.994537353515625E-3</v>
      </c>
    </row>
    <row r="2" spans="1:12">
      <c r="A2" s="696" t="s">
        <v>357</v>
      </c>
      <c r="B2" s="171"/>
      <c r="C2" s="698" t="s">
        <v>358</v>
      </c>
      <c r="D2" s="691" t="s">
        <v>5</v>
      </c>
      <c r="E2" s="691"/>
      <c r="F2" s="691" t="s">
        <v>671</v>
      </c>
      <c r="G2" s="691"/>
      <c r="H2" s="691" t="s">
        <v>2</v>
      </c>
      <c r="I2" s="691"/>
      <c r="J2" s="153"/>
    </row>
    <row r="3" spans="1:12">
      <c r="A3" s="697"/>
      <c r="B3" s="171"/>
      <c r="C3" s="698"/>
      <c r="D3" s="173" t="s">
        <v>359</v>
      </c>
      <c r="E3" s="173" t="s">
        <v>360</v>
      </c>
      <c r="F3" s="172" t="s">
        <v>359</v>
      </c>
      <c r="G3" s="172" t="s">
        <v>360</v>
      </c>
      <c r="H3" s="172" t="s">
        <v>359</v>
      </c>
      <c r="I3" s="172" t="s">
        <v>360</v>
      </c>
      <c r="J3" s="153"/>
    </row>
    <row r="4" spans="1:12">
      <c r="A4" s="154">
        <v>100101</v>
      </c>
      <c r="B4" s="154" t="str">
        <f>+'[3]25.II ST-1'!$A$10</f>
        <v>1.1.1</v>
      </c>
      <c r="C4" s="169" t="s">
        <v>361</v>
      </c>
      <c r="D4" s="170"/>
      <c r="E4" s="170">
        <v>0</v>
      </c>
      <c r="F4" s="170">
        <v>466845000</v>
      </c>
      <c r="G4" s="170">
        <v>466728199.47798347</v>
      </c>
      <c r="H4" s="170">
        <f>+D4+F4-E4-G4</f>
        <v>116800.52201652527</v>
      </c>
      <c r="I4" s="170"/>
      <c r="J4" s="369" t="s">
        <v>662</v>
      </c>
      <c r="K4" s="3">
        <f>+H4</f>
        <v>116800.52201652527</v>
      </c>
    </row>
    <row r="5" spans="1:12">
      <c r="A5" s="154">
        <v>110101</v>
      </c>
      <c r="B5" s="154" t="str">
        <f>+'[3]25.II ST-1'!$A$10</f>
        <v>1.1.1</v>
      </c>
      <c r="C5" s="165" t="s">
        <v>362</v>
      </c>
      <c r="D5" s="166">
        <v>65974.660000011325</v>
      </c>
      <c r="E5" s="166">
        <v>0</v>
      </c>
      <c r="F5" s="167">
        <v>57609400</v>
      </c>
      <c r="G5" s="166">
        <v>57353923.500000007</v>
      </c>
      <c r="H5" s="170">
        <f t="shared" ref="H5:H32" si="0">+D5+F5-E5-G5</f>
        <v>321451.16000000387</v>
      </c>
      <c r="I5" s="170"/>
      <c r="J5" s="369" t="s">
        <v>662</v>
      </c>
      <c r="K5" s="3">
        <f t="shared" ref="K5:K10" si="1">+H5</f>
        <v>321451.16000000387</v>
      </c>
      <c r="L5" s="211">
        <v>321451.15999999997</v>
      </c>
    </row>
    <row r="6" spans="1:12">
      <c r="A6" s="154">
        <v>110201</v>
      </c>
      <c r="B6" s="154" t="str">
        <f>+'[3]25.II ST-1'!$A$10</f>
        <v>1.1.1</v>
      </c>
      <c r="C6" s="165" t="s">
        <v>363</v>
      </c>
      <c r="D6" s="166">
        <v>444300.6400000006</v>
      </c>
      <c r="E6" s="166">
        <v>0</v>
      </c>
      <c r="F6" s="166">
        <v>59767644.801500008</v>
      </c>
      <c r="G6" s="166">
        <v>60055132.299999997</v>
      </c>
      <c r="H6" s="170">
        <f t="shared" si="0"/>
        <v>156813.14150001109</v>
      </c>
      <c r="I6" s="170"/>
      <c r="J6" s="369" t="s">
        <v>662</v>
      </c>
      <c r="K6" s="3">
        <f t="shared" si="1"/>
        <v>156813.14150001109</v>
      </c>
      <c r="L6" s="634">
        <f>44.09*3556.66</f>
        <v>156813.13940000001</v>
      </c>
    </row>
    <row r="7" spans="1:12">
      <c r="A7" s="154"/>
      <c r="B7" s="154" t="str">
        <f>+'[3]25.II ST-1'!$A$10</f>
        <v>1.1.1</v>
      </c>
      <c r="C7" s="165" t="s">
        <v>364</v>
      </c>
      <c r="D7" s="166"/>
      <c r="E7" s="166"/>
      <c r="F7" s="167">
        <v>289154500</v>
      </c>
      <c r="G7" s="166">
        <v>288668006.49000001</v>
      </c>
      <c r="H7" s="635">
        <f t="shared" si="0"/>
        <v>486493.50999999046</v>
      </c>
      <c r="I7" s="170"/>
      <c r="J7" s="369" t="s">
        <v>662</v>
      </c>
      <c r="K7" s="3">
        <f t="shared" si="1"/>
        <v>486493.50999999046</v>
      </c>
      <c r="L7" s="3">
        <f>+L6-H6</f>
        <v>-2.1000110718887299E-3</v>
      </c>
    </row>
    <row r="8" spans="1:12">
      <c r="A8" s="156">
        <v>110104</v>
      </c>
      <c r="B8" s="154" t="str">
        <f>+'[3]25.II ST-1'!$A$10</f>
        <v>1.1.1</v>
      </c>
      <c r="C8" s="2" t="s">
        <v>365</v>
      </c>
      <c r="D8" s="167">
        <v>28000</v>
      </c>
      <c r="E8" s="166"/>
      <c r="F8" s="166"/>
      <c r="G8" s="166">
        <v>10000</v>
      </c>
      <c r="H8" s="170">
        <f t="shared" si="0"/>
        <v>18000</v>
      </c>
      <c r="I8" s="170"/>
      <c r="J8" s="369" t="s">
        <v>662</v>
      </c>
      <c r="K8" s="3">
        <f t="shared" si="1"/>
        <v>18000</v>
      </c>
    </row>
    <row r="9" spans="1:12">
      <c r="A9" s="157">
        <v>110105</v>
      </c>
      <c r="B9" s="154" t="str">
        <f>+'[3]25.II ST-1'!$A$10</f>
        <v>1.1.1</v>
      </c>
      <c r="C9" s="2" t="s">
        <v>366</v>
      </c>
      <c r="D9" s="166">
        <v>78494.739999999991</v>
      </c>
      <c r="E9" s="166"/>
      <c r="F9" s="166"/>
      <c r="G9" s="166">
        <v>13989.35</v>
      </c>
      <c r="H9" s="170">
        <f t="shared" si="0"/>
        <v>64505.389999999992</v>
      </c>
      <c r="I9" s="170"/>
      <c r="J9" s="369" t="s">
        <v>662</v>
      </c>
      <c r="K9" s="3">
        <f t="shared" si="1"/>
        <v>64505.389999999992</v>
      </c>
    </row>
    <row r="10" spans="1:12">
      <c r="A10" s="157"/>
      <c r="B10" s="154" t="str">
        <f>+'[3]25.II ST-1'!$A$10</f>
        <v>1.1.1</v>
      </c>
      <c r="C10" s="2" t="s">
        <v>659</v>
      </c>
      <c r="D10" s="166"/>
      <c r="E10" s="166"/>
      <c r="F10" s="166">
        <v>17284000</v>
      </c>
      <c r="G10" s="166">
        <v>8162400</v>
      </c>
      <c r="H10" s="170">
        <f t="shared" si="0"/>
        <v>9121600</v>
      </c>
      <c r="I10" s="170"/>
      <c r="J10" s="369" t="s">
        <v>662</v>
      </c>
      <c r="K10" s="3">
        <f t="shared" si="1"/>
        <v>9121600</v>
      </c>
    </row>
    <row r="11" spans="1:12">
      <c r="A11" s="154">
        <v>121004</v>
      </c>
      <c r="B11" s="154" t="str">
        <f>+'[3]25.II ST-1'!$A$12</f>
        <v>1.1.3</v>
      </c>
      <c r="C11" s="165" t="s">
        <v>367</v>
      </c>
      <c r="D11" s="166">
        <v>2611487.13</v>
      </c>
      <c r="E11" s="166">
        <v>0</v>
      </c>
      <c r="F11" s="166">
        <v>50137012.138907596</v>
      </c>
      <c r="G11" s="166">
        <v>26365636.363636363</v>
      </c>
      <c r="H11" s="170">
        <f t="shared" si="0"/>
        <v>26382862.905271236</v>
      </c>
      <c r="I11" s="170"/>
      <c r="J11" s="692" t="s">
        <v>663</v>
      </c>
      <c r="K11" s="694">
        <f>SUM(H11:H12)</f>
        <v>26382862.905271236</v>
      </c>
      <c r="L11" s="3">
        <f>H11+[4]Vat!M15</f>
        <v>2.2712349891662598E-3</v>
      </c>
    </row>
    <row r="12" spans="1:12">
      <c r="A12" s="154">
        <v>121005</v>
      </c>
      <c r="B12" s="154" t="str">
        <f>+'[3]25.II ST-1'!$A$12</f>
        <v>1.1.3</v>
      </c>
      <c r="C12" s="165" t="s">
        <v>368</v>
      </c>
      <c r="D12" s="166">
        <v>1945497.6000000001</v>
      </c>
      <c r="E12" s="166">
        <v>0</v>
      </c>
      <c r="F12" s="166"/>
      <c r="G12" s="166">
        <v>1945497.6000000001</v>
      </c>
      <c r="H12" s="170">
        <f t="shared" si="0"/>
        <v>0</v>
      </c>
      <c r="I12" s="170"/>
      <c r="J12" s="692"/>
      <c r="K12" s="694"/>
    </row>
    <row r="13" spans="1:12">
      <c r="A13" s="154">
        <v>122003</v>
      </c>
      <c r="B13" s="154" t="str">
        <f>+'[3]25.II ST-1'!$A$13</f>
        <v>1.1.4</v>
      </c>
      <c r="C13" s="165" t="s">
        <v>369</v>
      </c>
      <c r="D13" s="167">
        <v>283762420</v>
      </c>
      <c r="E13" s="166">
        <v>0</v>
      </c>
      <c r="F13" s="167">
        <v>19500000</v>
      </c>
      <c r="G13" s="167"/>
      <c r="H13" s="170">
        <f t="shared" si="0"/>
        <v>303262420</v>
      </c>
      <c r="I13" s="170"/>
      <c r="J13" s="693" t="s">
        <v>664</v>
      </c>
      <c r="K13" s="695">
        <f>SUM(H13:H16)</f>
        <v>359762420</v>
      </c>
    </row>
    <row r="14" spans="1:12">
      <c r="A14" s="154">
        <v>122004</v>
      </c>
      <c r="B14" s="154" t="str">
        <f>+'[3]25.II ST-1'!$A$13</f>
        <v>1.1.4</v>
      </c>
      <c r="C14" s="165" t="s">
        <v>370</v>
      </c>
      <c r="D14" s="167">
        <v>28300000</v>
      </c>
      <c r="E14" s="166">
        <v>0</v>
      </c>
      <c r="F14" s="167">
        <v>16000000</v>
      </c>
      <c r="G14" s="167">
        <v>6000000</v>
      </c>
      <c r="H14" s="170">
        <f t="shared" si="0"/>
        <v>38300000</v>
      </c>
      <c r="I14" s="170"/>
      <c r="J14" s="693"/>
      <c r="K14" s="695"/>
    </row>
    <row r="15" spans="1:12">
      <c r="A15" s="154">
        <v>312601</v>
      </c>
      <c r="B15" s="154" t="str">
        <f>+'[3]25.II ST-1'!$A$13</f>
        <v>1.1.4</v>
      </c>
      <c r="C15" s="165" t="s">
        <v>371</v>
      </c>
      <c r="D15" s="167">
        <v>15400000</v>
      </c>
      <c r="E15" s="166">
        <v>0</v>
      </c>
      <c r="F15" s="167">
        <v>1000000</v>
      </c>
      <c r="G15" s="167"/>
      <c r="H15" s="170">
        <f t="shared" si="0"/>
        <v>16400000</v>
      </c>
      <c r="I15" s="170"/>
      <c r="J15" s="693"/>
      <c r="K15" s="695"/>
    </row>
    <row r="16" spans="1:12">
      <c r="A16" s="154"/>
      <c r="B16" s="154"/>
      <c r="C16" s="165" t="s">
        <v>372</v>
      </c>
      <c r="D16" s="167"/>
      <c r="E16" s="166"/>
      <c r="F16" s="167">
        <v>1800000</v>
      </c>
      <c r="G16" s="167"/>
      <c r="H16" s="170">
        <f t="shared" si="0"/>
        <v>1800000</v>
      </c>
      <c r="I16" s="170"/>
      <c r="J16" s="693"/>
      <c r="K16" s="695"/>
    </row>
    <row r="17" spans="1:12">
      <c r="A17" s="154">
        <v>150101</v>
      </c>
      <c r="B17" s="154" t="str">
        <f>+'[3]25.II ST-1'!A15</f>
        <v>1.1.6</v>
      </c>
      <c r="C17" s="165" t="s">
        <v>373</v>
      </c>
      <c r="D17" s="166">
        <v>865854.38</v>
      </c>
      <c r="E17" s="166">
        <v>0</v>
      </c>
      <c r="F17" s="288">
        <v>467000654.23816681</v>
      </c>
      <c r="G17" s="166">
        <v>207523723.26583037</v>
      </c>
      <c r="H17" s="170">
        <f>D17+F17-E17-G17</f>
        <v>260342785.35233644</v>
      </c>
      <c r="I17" s="170"/>
      <c r="J17" s="158" t="s">
        <v>374</v>
      </c>
      <c r="K17" s="3">
        <f>+H17</f>
        <v>260342785.35233644</v>
      </c>
    </row>
    <row r="18" spans="1:12">
      <c r="A18" s="154">
        <v>150102</v>
      </c>
      <c r="B18" s="154"/>
      <c r="C18" s="165" t="s">
        <v>6</v>
      </c>
      <c r="D18" s="166">
        <v>0</v>
      </c>
      <c r="E18" s="166">
        <v>0</v>
      </c>
      <c r="F18" s="166">
        <v>293550000</v>
      </c>
      <c r="G18" s="166">
        <v>293550000</v>
      </c>
      <c r="H18" s="170">
        <f t="shared" si="0"/>
        <v>0</v>
      </c>
      <c r="I18" s="170"/>
      <c r="J18" s="155"/>
    </row>
    <row r="19" spans="1:12">
      <c r="A19" s="154">
        <v>180201</v>
      </c>
      <c r="B19" s="154" t="str">
        <f>+'[3]25.II ST-1'!A16</f>
        <v>1.1.7</v>
      </c>
      <c r="C19" s="165" t="s">
        <v>375</v>
      </c>
      <c r="D19" s="166">
        <v>48117182.130000003</v>
      </c>
      <c r="E19" s="166">
        <v>0</v>
      </c>
      <c r="F19" s="166"/>
      <c r="G19" s="166"/>
      <c r="H19" s="170">
        <f t="shared" si="0"/>
        <v>48117182.130000003</v>
      </c>
      <c r="I19" s="170"/>
      <c r="J19" s="158" t="s">
        <v>376</v>
      </c>
      <c r="K19" s="3">
        <f>+H19</f>
        <v>48117182.130000003</v>
      </c>
    </row>
    <row r="20" spans="1:12">
      <c r="A20" s="154">
        <v>200201</v>
      </c>
      <c r="B20" s="154" t="str">
        <f>+'[3]25.II ST-1'!A22</f>
        <v>1.2.1</v>
      </c>
      <c r="C20" s="289" t="s">
        <v>377</v>
      </c>
      <c r="D20" s="167">
        <v>99537000</v>
      </c>
      <c r="E20" s="166">
        <v>0</v>
      </c>
      <c r="F20" s="166"/>
      <c r="G20" s="166"/>
      <c r="H20" s="170">
        <f t="shared" si="0"/>
        <v>99537000</v>
      </c>
      <c r="I20" s="170"/>
      <c r="J20" s="159" t="s">
        <v>378</v>
      </c>
      <c r="K20" s="3">
        <f>+H20</f>
        <v>99537000</v>
      </c>
    </row>
    <row r="21" spans="1:12">
      <c r="A21" s="154">
        <v>201201</v>
      </c>
      <c r="B21" s="154"/>
      <c r="C21" s="289" t="s">
        <v>379</v>
      </c>
      <c r="D21" s="166">
        <v>0</v>
      </c>
      <c r="E21" s="166">
        <v>0</v>
      </c>
      <c r="F21" s="166"/>
      <c r="G21" s="166"/>
      <c r="H21" s="170">
        <f t="shared" si="0"/>
        <v>0</v>
      </c>
      <c r="I21" s="170">
        <f t="shared" ref="I21:I38" si="2">+E21+G21-D21-F21</f>
        <v>0</v>
      </c>
      <c r="J21" s="155"/>
    </row>
    <row r="22" spans="1:12">
      <c r="A22" s="154">
        <v>210501</v>
      </c>
      <c r="B22" s="154" t="str">
        <f>+'[3]25.II ST-1'!A23</f>
        <v>1.2.2</v>
      </c>
      <c r="C22" s="289" t="s">
        <v>380</v>
      </c>
      <c r="D22" s="168">
        <v>76205.7</v>
      </c>
      <c r="E22" s="166">
        <v>0</v>
      </c>
      <c r="F22" s="166"/>
      <c r="G22" s="166"/>
      <c r="H22" s="170">
        <f t="shared" si="0"/>
        <v>76205.7</v>
      </c>
      <c r="I22" s="170"/>
      <c r="J22" s="692" t="s">
        <v>665</v>
      </c>
      <c r="K22" s="3">
        <f>+H22+H23</f>
        <v>31125905.699999999</v>
      </c>
    </row>
    <row r="23" spans="1:12">
      <c r="A23" s="154">
        <v>210801</v>
      </c>
      <c r="B23" s="154" t="str">
        <f>+'[3]25.II ST-1'!A23</f>
        <v>1.2.2</v>
      </c>
      <c r="C23" s="289" t="s">
        <v>381</v>
      </c>
      <c r="D23" s="168">
        <v>31049700</v>
      </c>
      <c r="E23" s="166">
        <v>0</v>
      </c>
      <c r="F23" s="166"/>
      <c r="G23" s="166"/>
      <c r="H23" s="170">
        <f t="shared" si="0"/>
        <v>31049700</v>
      </c>
      <c r="I23" s="170"/>
      <c r="J23" s="692"/>
    </row>
    <row r="24" spans="1:12">
      <c r="A24" s="154">
        <v>220101</v>
      </c>
      <c r="B24" s="154" t="str">
        <f>+'[3]25.II ST-1'!$A$25</f>
        <v>1.2.4</v>
      </c>
      <c r="C24" s="165" t="s">
        <v>382</v>
      </c>
      <c r="D24" s="168">
        <v>1139284100</v>
      </c>
      <c r="E24" s="166">
        <v>0</v>
      </c>
      <c r="F24" s="166"/>
      <c r="G24" s="166"/>
      <c r="H24" s="170">
        <f t="shared" si="0"/>
        <v>1139284100</v>
      </c>
      <c r="I24" s="170"/>
      <c r="J24" s="699" t="s">
        <v>666</v>
      </c>
      <c r="K24" s="3">
        <f>+H24+H25</f>
        <v>3701734295</v>
      </c>
    </row>
    <row r="25" spans="1:12">
      <c r="A25" s="154">
        <v>220201</v>
      </c>
      <c r="B25" s="154" t="str">
        <f>+'[3]25.II ST-1'!$A$25</f>
        <v>1.2.4</v>
      </c>
      <c r="C25" s="165" t="s">
        <v>383</v>
      </c>
      <c r="D25" s="168">
        <v>2562450195</v>
      </c>
      <c r="E25" s="166">
        <v>0</v>
      </c>
      <c r="F25" s="166"/>
      <c r="G25" s="166"/>
      <c r="H25" s="170">
        <f t="shared" si="0"/>
        <v>2562450195</v>
      </c>
      <c r="I25" s="170"/>
      <c r="J25" s="699"/>
    </row>
    <row r="26" spans="1:12">
      <c r="A26" s="154">
        <v>311001</v>
      </c>
      <c r="B26" s="154" t="str">
        <f>+'[3]25.II ST-1'!A39</f>
        <v>2.1.1.4</v>
      </c>
      <c r="C26" s="165" t="s">
        <v>384</v>
      </c>
      <c r="D26" s="166">
        <v>0</v>
      </c>
      <c r="E26" s="166">
        <v>0</v>
      </c>
      <c r="F26" s="166">
        <v>4000000</v>
      </c>
      <c r="G26" s="166">
        <v>4582195.307</v>
      </c>
      <c r="H26" s="170"/>
      <c r="I26" s="170">
        <f>E26+G26-D26-F26</f>
        <v>582195.30700000003</v>
      </c>
      <c r="J26" s="155"/>
    </row>
    <row r="27" spans="1:12">
      <c r="A27" s="154">
        <v>311002</v>
      </c>
      <c r="B27" s="154" t="str">
        <f>+'[3]25.II ST-1'!A38</f>
        <v>2.1.1.3</v>
      </c>
      <c r="C27" s="165" t="s">
        <v>385</v>
      </c>
      <c r="D27" s="166">
        <v>0</v>
      </c>
      <c r="E27" s="166">
        <v>177210.02000000002</v>
      </c>
      <c r="F27" s="166"/>
      <c r="G27" s="166">
        <v>639093.27232500003</v>
      </c>
      <c r="H27" s="170"/>
      <c r="I27" s="170">
        <f>E27+G27-D27-F27</f>
        <v>816303.29232500005</v>
      </c>
      <c r="J27" s="155" t="s">
        <v>667</v>
      </c>
      <c r="K27" s="3"/>
      <c r="L27" s="3"/>
    </row>
    <row r="28" spans="1:12">
      <c r="A28" s="154"/>
      <c r="B28" s="154" t="str">
        <f>+'[3]25.II ST-1'!A36</f>
        <v>2.1.1.1</v>
      </c>
      <c r="C28" s="165" t="s">
        <v>386</v>
      </c>
      <c r="D28" s="166"/>
      <c r="E28" s="166"/>
      <c r="F28" s="166">
        <v>441931134.59825408</v>
      </c>
      <c r="G28" s="166">
        <v>441931134.59825408</v>
      </c>
      <c r="H28" s="170"/>
      <c r="I28" s="170">
        <f>E28+G28-D28-F28</f>
        <v>0</v>
      </c>
      <c r="J28" s="155"/>
    </row>
    <row r="29" spans="1:12">
      <c r="A29" s="154">
        <v>310102</v>
      </c>
      <c r="B29" s="154"/>
      <c r="C29" s="165" t="s">
        <v>676</v>
      </c>
      <c r="D29" s="166">
        <v>0</v>
      </c>
      <c r="E29" s="166">
        <v>0</v>
      </c>
      <c r="F29" s="166">
        <v>71975391.8697294</v>
      </c>
      <c r="G29" s="166">
        <v>71975391.8697294</v>
      </c>
      <c r="H29" s="170"/>
      <c r="I29" s="170">
        <f t="shared" ref="I29" si="3">E29+G29-D29-F29</f>
        <v>0</v>
      </c>
      <c r="J29" s="155"/>
    </row>
    <row r="30" spans="1:12">
      <c r="A30" s="154">
        <v>313001</v>
      </c>
      <c r="B30" s="154" t="str">
        <f>+'[3]25.II ST-1'!A37</f>
        <v>2.1.1.2</v>
      </c>
      <c r="C30" s="165" t="s">
        <v>7</v>
      </c>
      <c r="D30" s="166"/>
      <c r="E30" s="166"/>
      <c r="F30" s="166">
        <v>19898932.350000001</v>
      </c>
      <c r="G30" s="166">
        <v>19898932.351924997</v>
      </c>
      <c r="H30" s="170"/>
      <c r="I30" s="170">
        <f>+E30+G30-D30-F30</f>
        <v>1.9249953329563141E-3</v>
      </c>
      <c r="J30" s="155"/>
    </row>
    <row r="31" spans="1:12">
      <c r="A31" s="154">
        <v>313007</v>
      </c>
      <c r="B31" s="154" t="str">
        <f>+'[3]25.II ST-1'!A45</f>
        <v>2.1.1.10</v>
      </c>
      <c r="C31" s="165" t="s">
        <v>661</v>
      </c>
      <c r="D31" s="166">
        <v>0</v>
      </c>
      <c r="E31" s="166">
        <v>171334342.70999998</v>
      </c>
      <c r="F31" s="166">
        <v>211255498.25999999</v>
      </c>
      <c r="G31" s="166">
        <v>482876000</v>
      </c>
      <c r="H31" s="170"/>
      <c r="I31" s="170">
        <f>+E31+G31-D31-F31</f>
        <v>442954844.45000005</v>
      </c>
      <c r="J31" s="160" t="s">
        <v>668</v>
      </c>
    </row>
    <row r="32" spans="1:12">
      <c r="A32" s="154"/>
      <c r="B32" s="154"/>
      <c r="C32" s="165" t="s">
        <v>387</v>
      </c>
      <c r="D32" s="166"/>
      <c r="E32" s="166"/>
      <c r="F32" s="166"/>
      <c r="G32" s="166"/>
      <c r="H32" s="170">
        <f t="shared" si="0"/>
        <v>0</v>
      </c>
      <c r="I32" s="170">
        <f t="shared" si="2"/>
        <v>0</v>
      </c>
      <c r="J32" s="160"/>
    </row>
    <row r="33" spans="1:14">
      <c r="A33" s="154">
        <v>320101</v>
      </c>
      <c r="B33" s="154" t="str">
        <f>+'[3]25.II ST-1'!A43</f>
        <v>2.1.1.8</v>
      </c>
      <c r="C33" s="165" t="s">
        <v>388</v>
      </c>
      <c r="D33" s="166">
        <v>0</v>
      </c>
      <c r="E33" s="166">
        <v>0</v>
      </c>
      <c r="F33" s="166"/>
      <c r="G33" s="166">
        <v>67334383.801500008</v>
      </c>
      <c r="H33" s="170"/>
      <c r="I33" s="170">
        <f t="shared" si="2"/>
        <v>67334383.801500008</v>
      </c>
      <c r="J33" s="155"/>
    </row>
    <row r="34" spans="1:14">
      <c r="A34" s="154">
        <v>330801</v>
      </c>
      <c r="B34" s="154" t="str">
        <f>+'[3]25.II ST-1'!A53</f>
        <v>2.1.2.4</v>
      </c>
      <c r="C34" s="165" t="s">
        <v>389</v>
      </c>
      <c r="D34" s="166">
        <v>0</v>
      </c>
      <c r="E34" s="166">
        <v>2847235881.5999999</v>
      </c>
      <c r="F34" s="166"/>
      <c r="G34" s="166"/>
      <c r="H34" s="170"/>
      <c r="I34" s="170">
        <f t="shared" si="2"/>
        <v>2847235881.5999999</v>
      </c>
      <c r="J34" s="155" t="s">
        <v>669</v>
      </c>
    </row>
    <row r="35" spans="1:14">
      <c r="A35" s="154">
        <v>410201</v>
      </c>
      <c r="B35" s="154" t="str">
        <f>+'[3]25.II ST-1'!A59</f>
        <v>2.3.2</v>
      </c>
      <c r="C35" s="165" t="s">
        <v>390</v>
      </c>
      <c r="D35" s="166">
        <v>0</v>
      </c>
      <c r="E35" s="166">
        <v>1373575194</v>
      </c>
      <c r="F35" s="166"/>
      <c r="G35" s="166"/>
      <c r="H35" s="170"/>
      <c r="I35" s="170">
        <f t="shared" si="2"/>
        <v>1373575194</v>
      </c>
      <c r="J35" s="155" t="s">
        <v>670</v>
      </c>
    </row>
    <row r="36" spans="1:14">
      <c r="A36" s="154">
        <v>420301</v>
      </c>
      <c r="B36" s="154" t="str">
        <f>+'[3]25.II ST-1'!A61</f>
        <v>2.3.4</v>
      </c>
      <c r="C36" s="165" t="s">
        <v>89</v>
      </c>
      <c r="D36" s="166">
        <v>0</v>
      </c>
      <c r="E36" s="166">
        <v>3269700</v>
      </c>
      <c r="F36" s="166"/>
      <c r="G36" s="166"/>
      <c r="H36" s="170"/>
      <c r="I36" s="170">
        <f t="shared" si="2"/>
        <v>3269700</v>
      </c>
      <c r="J36" s="155" t="s">
        <v>89</v>
      </c>
    </row>
    <row r="37" spans="1:14">
      <c r="A37" s="154">
        <v>430701</v>
      </c>
      <c r="B37" s="154" t="str">
        <f>+'[3]25.II ST-1'!A65</f>
        <v>2.3.8</v>
      </c>
      <c r="C37" s="165" t="s">
        <v>391</v>
      </c>
      <c r="D37" s="166">
        <v>0</v>
      </c>
      <c r="E37" s="166">
        <v>1029200</v>
      </c>
      <c r="F37" s="166"/>
      <c r="G37" s="166"/>
      <c r="H37" s="170"/>
      <c r="I37" s="170">
        <f t="shared" si="2"/>
        <v>1029200</v>
      </c>
      <c r="J37" s="155" t="s">
        <v>93</v>
      </c>
    </row>
    <row r="38" spans="1:14">
      <c r="A38" s="154">
        <v>440201</v>
      </c>
      <c r="B38" s="154" t="str">
        <f>+'[3]25.II ST-1'!A66</f>
        <v>2.3.9</v>
      </c>
      <c r="C38" s="352" t="s">
        <v>392</v>
      </c>
      <c r="D38" s="353">
        <v>0</v>
      </c>
      <c r="E38" s="353">
        <f>+'[3]25.II ST-1'!C66</f>
        <v>-182605116.34700099</v>
      </c>
      <c r="F38" s="353"/>
      <c r="G38" s="354">
        <f>G39-F39</f>
        <v>-16904471.291629404</v>
      </c>
      <c r="H38" s="170"/>
      <c r="I38" s="170">
        <f t="shared" si="2"/>
        <v>-199509587.63863039</v>
      </c>
      <c r="J38" s="155"/>
    </row>
    <row r="39" spans="1:14">
      <c r="A39" s="154"/>
      <c r="B39" s="165"/>
      <c r="C39" s="165"/>
      <c r="D39" s="355"/>
      <c r="E39" s="355"/>
      <c r="F39" s="356">
        <f>SUM(F40:F64)</f>
        <v>280560834.9516294</v>
      </c>
      <c r="G39" s="356">
        <f>SUM(G40:G42)</f>
        <v>263656363.66</v>
      </c>
      <c r="H39" s="161"/>
      <c r="I39" s="161"/>
      <c r="J39" s="155"/>
    </row>
    <row r="40" spans="1:14">
      <c r="A40" s="154">
        <v>510101</v>
      </c>
      <c r="B40" s="165"/>
      <c r="C40" s="165" t="s">
        <v>393</v>
      </c>
      <c r="D40" s="166"/>
      <c r="E40" s="166"/>
      <c r="F40" s="166"/>
      <c r="G40" s="166">
        <f>+[4]Vat!D16</f>
        <v>263656363.66</v>
      </c>
      <c r="H40" s="351"/>
      <c r="I40" s="166"/>
      <c r="K40" s="155">
        <f>+G40*0.65</f>
        <v>171376636.37900001</v>
      </c>
      <c r="N40" s="689"/>
    </row>
    <row r="41" spans="1:14">
      <c r="A41" s="154">
        <v>510201</v>
      </c>
      <c r="B41" s="165"/>
      <c r="C41" s="165" t="s">
        <v>778</v>
      </c>
      <c r="D41" s="166"/>
      <c r="E41" s="166"/>
      <c r="F41" s="166"/>
      <c r="G41" s="166"/>
      <c r="H41" s="351"/>
      <c r="I41" s="166"/>
      <c r="J41" s="155"/>
      <c r="N41" s="690"/>
    </row>
    <row r="42" spans="1:14">
      <c r="A42" s="154">
        <v>511018</v>
      </c>
      <c r="B42" s="165"/>
      <c r="C42" s="165" t="s">
        <v>394</v>
      </c>
      <c r="D42" s="166"/>
      <c r="E42" s="166"/>
      <c r="F42" s="166"/>
      <c r="G42" s="166"/>
      <c r="H42" s="351"/>
      <c r="I42" s="166"/>
      <c r="J42" s="155"/>
    </row>
    <row r="43" spans="1:14">
      <c r="A43" s="154">
        <v>610201</v>
      </c>
      <c r="B43" s="165"/>
      <c r="C43" s="165" t="s">
        <v>395</v>
      </c>
      <c r="D43" s="166"/>
      <c r="E43" s="166"/>
      <c r="F43" s="166"/>
      <c r="G43" s="166"/>
      <c r="H43" s="351"/>
      <c r="I43" s="166"/>
      <c r="J43" s="155"/>
    </row>
    <row r="44" spans="1:14">
      <c r="A44" s="154">
        <v>610301</v>
      </c>
      <c r="B44" s="165"/>
      <c r="C44" s="165" t="s">
        <v>396</v>
      </c>
      <c r="D44" s="166"/>
      <c r="E44" s="166"/>
      <c r="F44" s="166">
        <v>207380523.75248128</v>
      </c>
      <c r="G44" s="166"/>
      <c r="H44" s="351"/>
      <c r="I44" s="166"/>
      <c r="J44" s="155"/>
    </row>
    <row r="45" spans="1:14">
      <c r="A45" s="154">
        <v>700101</v>
      </c>
      <c r="B45" s="165"/>
      <c r="C45" s="165" t="s">
        <v>397</v>
      </c>
      <c r="D45" s="166"/>
      <c r="E45" s="166"/>
      <c r="F45" s="166">
        <v>22780288.449999999</v>
      </c>
      <c r="G45" s="166"/>
      <c r="H45" s="351"/>
      <c r="I45" s="166"/>
      <c r="J45" s="155"/>
    </row>
    <row r="46" spans="1:14">
      <c r="A46" s="154">
        <v>700103</v>
      </c>
      <c r="B46" s="165"/>
      <c r="C46" s="165" t="s">
        <v>398</v>
      </c>
      <c r="D46" s="166"/>
      <c r="E46" s="166"/>
      <c r="F46" s="166">
        <v>2339932.4812500002</v>
      </c>
      <c r="G46" s="166"/>
      <c r="H46" s="351"/>
      <c r="I46" s="166"/>
      <c r="J46" s="155"/>
    </row>
    <row r="47" spans="1:14">
      <c r="A47" s="154">
        <v>700113</v>
      </c>
      <c r="B47" s="165"/>
      <c r="C47" s="165" t="s">
        <v>399</v>
      </c>
      <c r="D47" s="166"/>
      <c r="E47" s="166"/>
      <c r="F47" s="166"/>
      <c r="G47" s="166"/>
      <c r="H47" s="351"/>
      <c r="I47" s="166"/>
      <c r="J47" s="155"/>
    </row>
    <row r="48" spans="1:14">
      <c r="A48" s="154">
        <v>701001</v>
      </c>
      <c r="B48" s="165"/>
      <c r="C48" s="165" t="s">
        <v>400</v>
      </c>
      <c r="D48" s="166"/>
      <c r="E48" s="166"/>
      <c r="F48" s="166">
        <v>357500</v>
      </c>
      <c r="G48" s="166"/>
      <c r="H48" s="351"/>
      <c r="I48" s="166"/>
      <c r="J48" s="155"/>
    </row>
    <row r="49" spans="1:10">
      <c r="A49" s="154">
        <v>701004</v>
      </c>
      <c r="B49" s="165"/>
      <c r="C49" s="165" t="s">
        <v>8</v>
      </c>
      <c r="D49" s="166"/>
      <c r="E49" s="166"/>
      <c r="F49" s="166"/>
      <c r="G49" s="166"/>
      <c r="H49" s="351"/>
      <c r="I49" s="166"/>
      <c r="J49" s="155"/>
    </row>
    <row r="50" spans="1:10">
      <c r="A50" s="154">
        <v>701005</v>
      </c>
      <c r="B50" s="165"/>
      <c r="C50" s="165" t="s">
        <v>401</v>
      </c>
      <c r="D50" s="166"/>
      <c r="E50" s="166"/>
      <c r="F50" s="166">
        <v>7200000</v>
      </c>
      <c r="G50" s="166"/>
      <c r="H50" s="351"/>
      <c r="I50" s="166"/>
      <c r="J50" s="155"/>
    </row>
    <row r="51" spans="1:10">
      <c r="A51" s="154"/>
      <c r="B51" s="165"/>
      <c r="C51" s="165" t="s">
        <v>660</v>
      </c>
      <c r="D51" s="166"/>
      <c r="E51" s="166"/>
      <c r="F51" s="166">
        <v>221230</v>
      </c>
      <c r="G51" s="166"/>
      <c r="H51" s="351"/>
      <c r="I51" s="166"/>
      <c r="J51" s="155"/>
    </row>
    <row r="52" spans="1:10">
      <c r="A52" s="154">
        <v>701006</v>
      </c>
      <c r="B52" s="165"/>
      <c r="C52" s="165" t="s">
        <v>9</v>
      </c>
      <c r="D52" s="166"/>
      <c r="E52" s="166"/>
      <c r="F52" s="166"/>
      <c r="G52" s="166"/>
      <c r="H52" s="351"/>
      <c r="I52" s="166"/>
      <c r="J52" s="155"/>
    </row>
    <row r="53" spans="1:10">
      <c r="A53" s="154">
        <v>701014</v>
      </c>
      <c r="B53" s="165"/>
      <c r="C53" s="165" t="s">
        <v>402</v>
      </c>
      <c r="D53" s="166"/>
      <c r="E53" s="166"/>
      <c r="F53" s="166"/>
      <c r="G53" s="166"/>
      <c r="H53" s="351"/>
      <c r="I53" s="166"/>
      <c r="J53" s="155"/>
    </row>
    <row r="54" spans="1:10">
      <c r="A54" s="154"/>
      <c r="B54" s="165"/>
      <c r="C54" s="165" t="s">
        <v>403</v>
      </c>
      <c r="D54" s="166"/>
      <c r="E54" s="166"/>
      <c r="F54" s="166"/>
      <c r="G54" s="166"/>
      <c r="H54" s="351"/>
      <c r="I54" s="166"/>
      <c r="J54" s="155"/>
    </row>
    <row r="55" spans="1:10">
      <c r="A55" s="154">
        <v>702002</v>
      </c>
      <c r="B55" s="165"/>
      <c r="C55" s="165" t="s">
        <v>404</v>
      </c>
      <c r="D55" s="166"/>
      <c r="E55" s="166"/>
      <c r="F55" s="166"/>
      <c r="G55" s="166"/>
      <c r="H55" s="351"/>
      <c r="I55" s="166"/>
      <c r="J55" s="155"/>
    </row>
    <row r="56" spans="1:10">
      <c r="A56" s="154">
        <v>702004</v>
      </c>
      <c r="B56" s="165"/>
      <c r="C56" s="165" t="s">
        <v>405</v>
      </c>
      <c r="D56" s="166"/>
      <c r="E56" s="166"/>
      <c r="F56" s="166">
        <v>30000</v>
      </c>
      <c r="G56" s="166"/>
      <c r="H56" s="351"/>
      <c r="I56" s="166"/>
      <c r="J56" s="155"/>
    </row>
    <row r="57" spans="1:10">
      <c r="A57" s="154">
        <v>703005</v>
      </c>
      <c r="B57" s="165"/>
      <c r="C57" s="165" t="s">
        <v>406</v>
      </c>
      <c r="D57" s="166"/>
      <c r="E57" s="166"/>
      <c r="F57" s="166">
        <v>24691514.02</v>
      </c>
      <c r="G57" s="166"/>
      <c r="H57" s="351"/>
      <c r="I57" s="166"/>
      <c r="J57" s="155"/>
    </row>
    <row r="58" spans="1:10">
      <c r="A58" s="154">
        <v>703012</v>
      </c>
      <c r="B58" s="165"/>
      <c r="C58" s="165" t="s">
        <v>189</v>
      </c>
      <c r="D58" s="166"/>
      <c r="E58" s="166"/>
      <c r="F58" s="166">
        <v>222931.64000001134</v>
      </c>
      <c r="G58" s="166"/>
      <c r="H58" s="351"/>
      <c r="I58" s="166"/>
      <c r="J58" s="155"/>
    </row>
    <row r="59" spans="1:10">
      <c r="A59" s="154">
        <v>710103</v>
      </c>
      <c r="B59" s="165"/>
      <c r="C59" s="165" t="s">
        <v>407</v>
      </c>
      <c r="D59" s="166"/>
      <c r="E59" s="166"/>
      <c r="F59" s="166">
        <v>14657549.09090909</v>
      </c>
      <c r="G59" s="166"/>
      <c r="H59" s="351"/>
      <c r="I59" s="166"/>
      <c r="J59" s="155"/>
    </row>
    <row r="60" spans="1:10">
      <c r="A60" s="154">
        <v>730101</v>
      </c>
      <c r="B60" s="165"/>
      <c r="C60" s="165" t="s">
        <v>11</v>
      </c>
      <c r="D60" s="166"/>
      <c r="E60" s="166"/>
      <c r="F60" s="166">
        <v>679365.51698908163</v>
      </c>
      <c r="G60" s="166"/>
      <c r="H60" s="351"/>
      <c r="I60" s="166"/>
      <c r="J60" s="155"/>
    </row>
    <row r="61" spans="1:10">
      <c r="A61" s="154">
        <v>840901</v>
      </c>
      <c r="B61" s="165"/>
      <c r="C61" s="165" t="s">
        <v>408</v>
      </c>
      <c r="D61" s="166"/>
      <c r="E61" s="166"/>
      <c r="F61" s="166"/>
      <c r="G61" s="166"/>
      <c r="H61" s="351"/>
      <c r="I61" s="166"/>
      <c r="J61" s="155"/>
    </row>
    <row r="62" spans="1:10">
      <c r="A62" s="154">
        <v>870901</v>
      </c>
      <c r="B62" s="165"/>
      <c r="C62" s="165" t="s">
        <v>409</v>
      </c>
      <c r="D62" s="166"/>
      <c r="E62" s="166"/>
      <c r="F62" s="166"/>
      <c r="G62" s="166"/>
      <c r="H62" s="351"/>
      <c r="I62" s="166"/>
      <c r="J62" s="155"/>
    </row>
    <row r="63" spans="1:10">
      <c r="A63" s="154">
        <v>871801</v>
      </c>
      <c r="B63" s="165"/>
      <c r="C63" s="165" t="s">
        <v>410</v>
      </c>
      <c r="D63" s="166"/>
      <c r="E63" s="166"/>
      <c r="F63" s="166"/>
      <c r="G63" s="166"/>
      <c r="H63" s="351"/>
      <c r="I63" s="166"/>
      <c r="J63" s="155"/>
    </row>
    <row r="64" spans="1:10">
      <c r="A64" s="154">
        <v>910101</v>
      </c>
      <c r="B64" s="165"/>
      <c r="C64" s="165" t="s">
        <v>411</v>
      </c>
      <c r="D64" s="166"/>
      <c r="E64" s="166"/>
      <c r="F64" s="166"/>
      <c r="G64" s="166"/>
      <c r="H64" s="351"/>
      <c r="I64" s="166"/>
      <c r="J64" s="155"/>
    </row>
    <row r="65" spans="1:10">
      <c r="A65" s="154"/>
      <c r="B65" s="165"/>
      <c r="C65" s="289" t="s">
        <v>412</v>
      </c>
      <c r="D65" s="357">
        <f>SUM(D4:D64)</f>
        <v>4214016411.98</v>
      </c>
      <c r="E65" s="357">
        <f>SUM(E4:E64)</f>
        <v>4214016411.9829988</v>
      </c>
      <c r="F65" s="357">
        <f>SUM(F4:F38)</f>
        <v>2488709168.2565575</v>
      </c>
      <c r="G65" s="357">
        <f>SUM(G4:G38)</f>
        <v>2488709168.2565541</v>
      </c>
      <c r="H65" s="162">
        <f>SUM(H4:H38)</f>
        <v>4537288114.8111248</v>
      </c>
      <c r="I65" s="162">
        <f>SUM(I4:I38)</f>
        <v>4537288114.8141193</v>
      </c>
      <c r="J65" s="163"/>
    </row>
    <row r="66" spans="1:10">
      <c r="D66" s="4">
        <f>+D65-E65</f>
        <v>-2.9988288879394531E-3</v>
      </c>
    </row>
  </sheetData>
  <mergeCells count="12">
    <mergeCell ref="A2:A3"/>
    <mergeCell ref="C2:C3"/>
    <mergeCell ref="D2:E2"/>
    <mergeCell ref="F2:G2"/>
    <mergeCell ref="J24:J25"/>
    <mergeCell ref="N40:N41"/>
    <mergeCell ref="H2:I2"/>
    <mergeCell ref="J11:J12"/>
    <mergeCell ref="J13:J16"/>
    <mergeCell ref="J22:J23"/>
    <mergeCell ref="K11:K12"/>
    <mergeCell ref="K13:K16"/>
  </mergeCells>
  <pageMargins left="0.7" right="0.17" top="0.17" bottom="0.17" header="0.3" footer="0.3"/>
  <pageSetup paperSize="9" scale="64" orientation="landscape"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03B94-CA3E-4868-B8F4-1B0FB02CD31A}">
  <sheetPr>
    <pageSetUpPr fitToPage="1"/>
  </sheetPr>
  <dimension ref="B1:IW93"/>
  <sheetViews>
    <sheetView topLeftCell="A64" workbookViewId="0">
      <selection activeCell="D68" sqref="D68:S68"/>
    </sheetView>
  </sheetViews>
  <sheetFormatPr defaultRowHeight="15"/>
  <cols>
    <col min="1" max="1" width="5.140625" style="5" customWidth="1"/>
    <col min="2" max="2" width="3.7109375" style="5" customWidth="1"/>
    <col min="3" max="3" width="4.85546875" style="5" customWidth="1"/>
    <col min="4" max="4" width="1.28515625" style="5" customWidth="1"/>
    <col min="5" max="5" width="4.5703125" style="5" customWidth="1"/>
    <col min="6" max="6" width="2.42578125" style="5" customWidth="1"/>
    <col min="7" max="7" width="1.42578125" style="5" customWidth="1"/>
    <col min="8" max="14" width="3.28515625" style="5" customWidth="1"/>
    <col min="15" max="256" width="8.85546875" style="5"/>
    <col min="257" max="257" width="4.28515625" style="5" customWidth="1"/>
    <col min="258" max="258" width="10.85546875" style="5" customWidth="1"/>
    <col min="259" max="259" width="8.85546875" style="5"/>
    <col min="260" max="260" width="20.85546875" style="5" customWidth="1"/>
    <col min="261" max="261" width="8.85546875" style="5"/>
    <col min="262" max="262" width="8.28515625" style="5" customWidth="1"/>
    <col min="263" max="263" width="8.5703125" style="5" customWidth="1"/>
    <col min="264" max="264" width="16" style="5" customWidth="1"/>
    <col min="265" max="512" width="8.85546875" style="5"/>
    <col min="513" max="513" width="4.28515625" style="5" customWidth="1"/>
    <col min="514" max="514" width="10.85546875" style="5" customWidth="1"/>
    <col min="515" max="515" width="8.85546875" style="5"/>
    <col min="516" max="516" width="20.85546875" style="5" customWidth="1"/>
    <col min="517" max="517" width="8.85546875" style="5"/>
    <col min="518" max="518" width="8.28515625" style="5" customWidth="1"/>
    <col min="519" max="519" width="8.5703125" style="5" customWidth="1"/>
    <col min="520" max="520" width="16" style="5" customWidth="1"/>
    <col min="521" max="768" width="8.85546875" style="5"/>
    <col min="769" max="769" width="4.28515625" style="5" customWidth="1"/>
    <col min="770" max="770" width="10.85546875" style="5" customWidth="1"/>
    <col min="771" max="771" width="8.85546875" style="5"/>
    <col min="772" max="772" width="20.85546875" style="5" customWidth="1"/>
    <col min="773" max="773" width="8.85546875" style="5"/>
    <col min="774" max="774" width="8.28515625" style="5" customWidth="1"/>
    <col min="775" max="775" width="8.5703125" style="5" customWidth="1"/>
    <col min="776" max="776" width="16" style="5" customWidth="1"/>
    <col min="777" max="1024" width="8.85546875" style="5"/>
    <col min="1025" max="1025" width="4.28515625" style="5" customWidth="1"/>
    <col min="1026" max="1026" width="10.85546875" style="5" customWidth="1"/>
    <col min="1027" max="1027" width="8.85546875" style="5"/>
    <col min="1028" max="1028" width="20.85546875" style="5" customWidth="1"/>
    <col min="1029" max="1029" width="8.85546875" style="5"/>
    <col min="1030" max="1030" width="8.28515625" style="5" customWidth="1"/>
    <col min="1031" max="1031" width="8.5703125" style="5" customWidth="1"/>
    <col min="1032" max="1032" width="16" style="5" customWidth="1"/>
    <col min="1033" max="1280" width="8.85546875" style="5"/>
    <col min="1281" max="1281" width="4.28515625" style="5" customWidth="1"/>
    <col min="1282" max="1282" width="10.85546875" style="5" customWidth="1"/>
    <col min="1283" max="1283" width="8.85546875" style="5"/>
    <col min="1284" max="1284" width="20.85546875" style="5" customWidth="1"/>
    <col min="1285" max="1285" width="8.85546875" style="5"/>
    <col min="1286" max="1286" width="8.28515625" style="5" customWidth="1"/>
    <col min="1287" max="1287" width="8.5703125" style="5" customWidth="1"/>
    <col min="1288" max="1288" width="16" style="5" customWidth="1"/>
    <col min="1289" max="1536" width="8.85546875" style="5"/>
    <col min="1537" max="1537" width="4.28515625" style="5" customWidth="1"/>
    <col min="1538" max="1538" width="10.85546875" style="5" customWidth="1"/>
    <col min="1539" max="1539" width="8.85546875" style="5"/>
    <col min="1540" max="1540" width="20.85546875" style="5" customWidth="1"/>
    <col min="1541" max="1541" width="8.85546875" style="5"/>
    <col min="1542" max="1542" width="8.28515625" style="5" customWidth="1"/>
    <col min="1543" max="1543" width="8.5703125" style="5" customWidth="1"/>
    <col min="1544" max="1544" width="16" style="5" customWidth="1"/>
    <col min="1545" max="1792" width="8.85546875" style="5"/>
    <col min="1793" max="1793" width="4.28515625" style="5" customWidth="1"/>
    <col min="1794" max="1794" width="10.85546875" style="5" customWidth="1"/>
    <col min="1795" max="1795" width="8.85546875" style="5"/>
    <col min="1796" max="1796" width="20.85546875" style="5" customWidth="1"/>
    <col min="1797" max="1797" width="8.85546875" style="5"/>
    <col min="1798" max="1798" width="8.28515625" style="5" customWidth="1"/>
    <col min="1799" max="1799" width="8.5703125" style="5" customWidth="1"/>
    <col min="1800" max="1800" width="16" style="5" customWidth="1"/>
    <col min="1801" max="2048" width="8.85546875" style="5"/>
    <col min="2049" max="2049" width="4.28515625" style="5" customWidth="1"/>
    <col min="2050" max="2050" width="10.85546875" style="5" customWidth="1"/>
    <col min="2051" max="2051" width="8.85546875" style="5"/>
    <col min="2052" max="2052" width="20.85546875" style="5" customWidth="1"/>
    <col min="2053" max="2053" width="8.85546875" style="5"/>
    <col min="2054" max="2054" width="8.28515625" style="5" customWidth="1"/>
    <col min="2055" max="2055" width="8.5703125" style="5" customWidth="1"/>
    <col min="2056" max="2056" width="16" style="5" customWidth="1"/>
    <col min="2057" max="2304" width="8.85546875" style="5"/>
    <col min="2305" max="2305" width="4.28515625" style="5" customWidth="1"/>
    <col min="2306" max="2306" width="10.85546875" style="5" customWidth="1"/>
    <col min="2307" max="2307" width="8.85546875" style="5"/>
    <col min="2308" max="2308" width="20.85546875" style="5" customWidth="1"/>
    <col min="2309" max="2309" width="8.85546875" style="5"/>
    <col min="2310" max="2310" width="8.28515625" style="5" customWidth="1"/>
    <col min="2311" max="2311" width="8.5703125" style="5" customWidth="1"/>
    <col min="2312" max="2312" width="16" style="5" customWidth="1"/>
    <col min="2313" max="2560" width="8.85546875" style="5"/>
    <col min="2561" max="2561" width="4.28515625" style="5" customWidth="1"/>
    <col min="2562" max="2562" width="10.85546875" style="5" customWidth="1"/>
    <col min="2563" max="2563" width="8.85546875" style="5"/>
    <col min="2564" max="2564" width="20.85546875" style="5" customWidth="1"/>
    <col min="2565" max="2565" width="8.85546875" style="5"/>
    <col min="2566" max="2566" width="8.28515625" style="5" customWidth="1"/>
    <col min="2567" max="2567" width="8.5703125" style="5" customWidth="1"/>
    <col min="2568" max="2568" width="16" style="5" customWidth="1"/>
    <col min="2569" max="2816" width="8.85546875" style="5"/>
    <col min="2817" max="2817" width="4.28515625" style="5" customWidth="1"/>
    <col min="2818" max="2818" width="10.85546875" style="5" customWidth="1"/>
    <col min="2819" max="2819" width="8.85546875" style="5"/>
    <col min="2820" max="2820" width="20.85546875" style="5" customWidth="1"/>
    <col min="2821" max="2821" width="8.85546875" style="5"/>
    <col min="2822" max="2822" width="8.28515625" style="5" customWidth="1"/>
    <col min="2823" max="2823" width="8.5703125" style="5" customWidth="1"/>
    <col min="2824" max="2824" width="16" style="5" customWidth="1"/>
    <col min="2825" max="3072" width="8.85546875" style="5"/>
    <col min="3073" max="3073" width="4.28515625" style="5" customWidth="1"/>
    <col min="3074" max="3074" width="10.85546875" style="5" customWidth="1"/>
    <col min="3075" max="3075" width="8.85546875" style="5"/>
    <col min="3076" max="3076" width="20.85546875" style="5" customWidth="1"/>
    <col min="3077" max="3077" width="8.85546875" style="5"/>
    <col min="3078" max="3078" width="8.28515625" style="5" customWidth="1"/>
    <col min="3079" max="3079" width="8.5703125" style="5" customWidth="1"/>
    <col min="3080" max="3080" width="16" style="5" customWidth="1"/>
    <col min="3081" max="3328" width="8.85546875" style="5"/>
    <col min="3329" max="3329" width="4.28515625" style="5" customWidth="1"/>
    <col min="3330" max="3330" width="10.85546875" style="5" customWidth="1"/>
    <col min="3331" max="3331" width="8.85546875" style="5"/>
    <col min="3332" max="3332" width="20.85546875" style="5" customWidth="1"/>
    <col min="3333" max="3333" width="8.85546875" style="5"/>
    <col min="3334" max="3334" width="8.28515625" style="5" customWidth="1"/>
    <col min="3335" max="3335" width="8.5703125" style="5" customWidth="1"/>
    <col min="3336" max="3336" width="16" style="5" customWidth="1"/>
    <col min="3337" max="3584" width="8.85546875" style="5"/>
    <col min="3585" max="3585" width="4.28515625" style="5" customWidth="1"/>
    <col min="3586" max="3586" width="10.85546875" style="5" customWidth="1"/>
    <col min="3587" max="3587" width="8.85546875" style="5"/>
    <col min="3588" max="3588" width="20.85546875" style="5" customWidth="1"/>
    <col min="3589" max="3589" width="8.85546875" style="5"/>
    <col min="3590" max="3590" width="8.28515625" style="5" customWidth="1"/>
    <col min="3591" max="3591" width="8.5703125" style="5" customWidth="1"/>
    <col min="3592" max="3592" width="16" style="5" customWidth="1"/>
    <col min="3593" max="3840" width="8.85546875" style="5"/>
    <col min="3841" max="3841" width="4.28515625" style="5" customWidth="1"/>
    <col min="3842" max="3842" width="10.85546875" style="5" customWidth="1"/>
    <col min="3843" max="3843" width="8.85546875" style="5"/>
    <col min="3844" max="3844" width="20.85546875" style="5" customWidth="1"/>
    <col min="3845" max="3845" width="8.85546875" style="5"/>
    <col min="3846" max="3846" width="8.28515625" style="5" customWidth="1"/>
    <col min="3847" max="3847" width="8.5703125" style="5" customWidth="1"/>
    <col min="3848" max="3848" width="16" style="5" customWidth="1"/>
    <col min="3849" max="4096" width="8.85546875" style="5"/>
    <col min="4097" max="4097" width="4.28515625" style="5" customWidth="1"/>
    <col min="4098" max="4098" width="10.85546875" style="5" customWidth="1"/>
    <col min="4099" max="4099" width="8.85546875" style="5"/>
    <col min="4100" max="4100" width="20.85546875" style="5" customWidth="1"/>
    <col min="4101" max="4101" width="8.85546875" style="5"/>
    <col min="4102" max="4102" width="8.28515625" style="5" customWidth="1"/>
    <col min="4103" max="4103" width="8.5703125" style="5" customWidth="1"/>
    <col min="4104" max="4104" width="16" style="5" customWidth="1"/>
    <col min="4105" max="4352" width="8.85546875" style="5"/>
    <col min="4353" max="4353" width="4.28515625" style="5" customWidth="1"/>
    <col min="4354" max="4354" width="10.85546875" style="5" customWidth="1"/>
    <col min="4355" max="4355" width="8.85546875" style="5"/>
    <col min="4356" max="4356" width="20.85546875" style="5" customWidth="1"/>
    <col min="4357" max="4357" width="8.85546875" style="5"/>
    <col min="4358" max="4358" width="8.28515625" style="5" customWidth="1"/>
    <col min="4359" max="4359" width="8.5703125" style="5" customWidth="1"/>
    <col min="4360" max="4360" width="16" style="5" customWidth="1"/>
    <col min="4361" max="4608" width="8.85546875" style="5"/>
    <col min="4609" max="4609" width="4.28515625" style="5" customWidth="1"/>
    <col min="4610" max="4610" width="10.85546875" style="5" customWidth="1"/>
    <col min="4611" max="4611" width="8.85546875" style="5"/>
    <col min="4612" max="4612" width="20.85546875" style="5" customWidth="1"/>
    <col min="4613" max="4613" width="8.85546875" style="5"/>
    <col min="4614" max="4614" width="8.28515625" style="5" customWidth="1"/>
    <col min="4615" max="4615" width="8.5703125" style="5" customWidth="1"/>
    <col min="4616" max="4616" width="16" style="5" customWidth="1"/>
    <col min="4617" max="4864" width="8.85546875" style="5"/>
    <col min="4865" max="4865" width="4.28515625" style="5" customWidth="1"/>
    <col min="4866" max="4866" width="10.85546875" style="5" customWidth="1"/>
    <col min="4867" max="4867" width="8.85546875" style="5"/>
    <col min="4868" max="4868" width="20.85546875" style="5" customWidth="1"/>
    <col min="4869" max="4869" width="8.85546875" style="5"/>
    <col min="4870" max="4870" width="8.28515625" style="5" customWidth="1"/>
    <col min="4871" max="4871" width="8.5703125" style="5" customWidth="1"/>
    <col min="4872" max="4872" width="16" style="5" customWidth="1"/>
    <col min="4873" max="5120" width="8.85546875" style="5"/>
    <col min="5121" max="5121" width="4.28515625" style="5" customWidth="1"/>
    <col min="5122" max="5122" width="10.85546875" style="5" customWidth="1"/>
    <col min="5123" max="5123" width="8.85546875" style="5"/>
    <col min="5124" max="5124" width="20.85546875" style="5" customWidth="1"/>
    <col min="5125" max="5125" width="8.85546875" style="5"/>
    <col min="5126" max="5126" width="8.28515625" style="5" customWidth="1"/>
    <col min="5127" max="5127" width="8.5703125" style="5" customWidth="1"/>
    <col min="5128" max="5128" width="16" style="5" customWidth="1"/>
    <col min="5129" max="5376" width="8.85546875" style="5"/>
    <col min="5377" max="5377" width="4.28515625" style="5" customWidth="1"/>
    <col min="5378" max="5378" width="10.85546875" style="5" customWidth="1"/>
    <col min="5379" max="5379" width="8.85546875" style="5"/>
    <col min="5380" max="5380" width="20.85546875" style="5" customWidth="1"/>
    <col min="5381" max="5381" width="8.85546875" style="5"/>
    <col min="5382" max="5382" width="8.28515625" style="5" customWidth="1"/>
    <col min="5383" max="5383" width="8.5703125" style="5" customWidth="1"/>
    <col min="5384" max="5384" width="16" style="5" customWidth="1"/>
    <col min="5385" max="5632" width="8.85546875" style="5"/>
    <col min="5633" max="5633" width="4.28515625" style="5" customWidth="1"/>
    <col min="5634" max="5634" width="10.85546875" style="5" customWidth="1"/>
    <col min="5635" max="5635" width="8.85546875" style="5"/>
    <col min="5636" max="5636" width="20.85546875" style="5" customWidth="1"/>
    <col min="5637" max="5637" width="8.85546875" style="5"/>
    <col min="5638" max="5638" width="8.28515625" style="5" customWidth="1"/>
    <col min="5639" max="5639" width="8.5703125" style="5" customWidth="1"/>
    <col min="5640" max="5640" width="16" style="5" customWidth="1"/>
    <col min="5641" max="5888" width="8.85546875" style="5"/>
    <col min="5889" max="5889" width="4.28515625" style="5" customWidth="1"/>
    <col min="5890" max="5890" width="10.85546875" style="5" customWidth="1"/>
    <col min="5891" max="5891" width="8.85546875" style="5"/>
    <col min="5892" max="5892" width="20.85546875" style="5" customWidth="1"/>
    <col min="5893" max="5893" width="8.85546875" style="5"/>
    <col min="5894" max="5894" width="8.28515625" style="5" customWidth="1"/>
    <col min="5895" max="5895" width="8.5703125" style="5" customWidth="1"/>
    <col min="5896" max="5896" width="16" style="5" customWidth="1"/>
    <col min="5897" max="6144" width="8.85546875" style="5"/>
    <col min="6145" max="6145" width="4.28515625" style="5" customWidth="1"/>
    <col min="6146" max="6146" width="10.85546875" style="5" customWidth="1"/>
    <col min="6147" max="6147" width="8.85546875" style="5"/>
    <col min="6148" max="6148" width="20.85546875" style="5" customWidth="1"/>
    <col min="6149" max="6149" width="8.85546875" style="5"/>
    <col min="6150" max="6150" width="8.28515625" style="5" customWidth="1"/>
    <col min="6151" max="6151" width="8.5703125" style="5" customWidth="1"/>
    <col min="6152" max="6152" width="16" style="5" customWidth="1"/>
    <col min="6153" max="6400" width="8.85546875" style="5"/>
    <col min="6401" max="6401" width="4.28515625" style="5" customWidth="1"/>
    <col min="6402" max="6402" width="10.85546875" style="5" customWidth="1"/>
    <col min="6403" max="6403" width="8.85546875" style="5"/>
    <col min="6404" max="6404" width="20.85546875" style="5" customWidth="1"/>
    <col min="6405" max="6405" width="8.85546875" style="5"/>
    <col min="6406" max="6406" width="8.28515625" style="5" customWidth="1"/>
    <col min="6407" max="6407" width="8.5703125" style="5" customWidth="1"/>
    <col min="6408" max="6408" width="16" style="5" customWidth="1"/>
    <col min="6409" max="6656" width="8.85546875" style="5"/>
    <col min="6657" max="6657" width="4.28515625" style="5" customWidth="1"/>
    <col min="6658" max="6658" width="10.85546875" style="5" customWidth="1"/>
    <col min="6659" max="6659" width="8.85546875" style="5"/>
    <col min="6660" max="6660" width="20.85546875" style="5" customWidth="1"/>
    <col min="6661" max="6661" width="8.85546875" style="5"/>
    <col min="6662" max="6662" width="8.28515625" style="5" customWidth="1"/>
    <col min="6663" max="6663" width="8.5703125" style="5" customWidth="1"/>
    <col min="6664" max="6664" width="16" style="5" customWidth="1"/>
    <col min="6665" max="6912" width="8.85546875" style="5"/>
    <col min="6913" max="6913" width="4.28515625" style="5" customWidth="1"/>
    <col min="6914" max="6914" width="10.85546875" style="5" customWidth="1"/>
    <col min="6915" max="6915" width="8.85546875" style="5"/>
    <col min="6916" max="6916" width="20.85546875" style="5" customWidth="1"/>
    <col min="6917" max="6917" width="8.85546875" style="5"/>
    <col min="6918" max="6918" width="8.28515625" style="5" customWidth="1"/>
    <col min="6919" max="6919" width="8.5703125" style="5" customWidth="1"/>
    <col min="6920" max="6920" width="16" style="5" customWidth="1"/>
    <col min="6921" max="7168" width="8.85546875" style="5"/>
    <col min="7169" max="7169" width="4.28515625" style="5" customWidth="1"/>
    <col min="7170" max="7170" width="10.85546875" style="5" customWidth="1"/>
    <col min="7171" max="7171" width="8.85546875" style="5"/>
    <col min="7172" max="7172" width="20.85546875" style="5" customWidth="1"/>
    <col min="7173" max="7173" width="8.85546875" style="5"/>
    <col min="7174" max="7174" width="8.28515625" style="5" customWidth="1"/>
    <col min="7175" max="7175" width="8.5703125" style="5" customWidth="1"/>
    <col min="7176" max="7176" width="16" style="5" customWidth="1"/>
    <col min="7177" max="7424" width="8.85546875" style="5"/>
    <col min="7425" max="7425" width="4.28515625" style="5" customWidth="1"/>
    <col min="7426" max="7426" width="10.85546875" style="5" customWidth="1"/>
    <col min="7427" max="7427" width="8.85546875" style="5"/>
    <col min="7428" max="7428" width="20.85546875" style="5" customWidth="1"/>
    <col min="7429" max="7429" width="8.85546875" style="5"/>
    <col min="7430" max="7430" width="8.28515625" style="5" customWidth="1"/>
    <col min="7431" max="7431" width="8.5703125" style="5" customWidth="1"/>
    <col min="7432" max="7432" width="16" style="5" customWidth="1"/>
    <col min="7433" max="7680" width="8.85546875" style="5"/>
    <col min="7681" max="7681" width="4.28515625" style="5" customWidth="1"/>
    <col min="7682" max="7682" width="10.85546875" style="5" customWidth="1"/>
    <col min="7683" max="7683" width="8.85546875" style="5"/>
    <col min="7684" max="7684" width="20.85546875" style="5" customWidth="1"/>
    <col min="7685" max="7685" width="8.85546875" style="5"/>
    <col min="7686" max="7686" width="8.28515625" style="5" customWidth="1"/>
    <col min="7687" max="7687" width="8.5703125" style="5" customWidth="1"/>
    <col min="7688" max="7688" width="16" style="5" customWidth="1"/>
    <col min="7689" max="7936" width="8.85546875" style="5"/>
    <col min="7937" max="7937" width="4.28515625" style="5" customWidth="1"/>
    <col min="7938" max="7938" width="10.85546875" style="5" customWidth="1"/>
    <col min="7939" max="7939" width="8.85546875" style="5"/>
    <col min="7940" max="7940" width="20.85546875" style="5" customWidth="1"/>
    <col min="7941" max="7941" width="8.85546875" style="5"/>
    <col min="7942" max="7942" width="8.28515625" style="5" customWidth="1"/>
    <col min="7943" max="7943" width="8.5703125" style="5" customWidth="1"/>
    <col min="7944" max="7944" width="16" style="5" customWidth="1"/>
    <col min="7945" max="8192" width="8.85546875" style="5"/>
    <col min="8193" max="8193" width="4.28515625" style="5" customWidth="1"/>
    <col min="8194" max="8194" width="10.85546875" style="5" customWidth="1"/>
    <col min="8195" max="8195" width="8.85546875" style="5"/>
    <col min="8196" max="8196" width="20.85546875" style="5" customWidth="1"/>
    <col min="8197" max="8197" width="8.85546875" style="5"/>
    <col min="8198" max="8198" width="8.28515625" style="5" customWidth="1"/>
    <col min="8199" max="8199" width="8.5703125" style="5" customWidth="1"/>
    <col min="8200" max="8200" width="16" style="5" customWidth="1"/>
    <col min="8201" max="8448" width="8.85546875" style="5"/>
    <col min="8449" max="8449" width="4.28515625" style="5" customWidth="1"/>
    <col min="8450" max="8450" width="10.85546875" style="5" customWidth="1"/>
    <col min="8451" max="8451" width="8.85546875" style="5"/>
    <col min="8452" max="8452" width="20.85546875" style="5" customWidth="1"/>
    <col min="8453" max="8453" width="8.85546875" style="5"/>
    <col min="8454" max="8454" width="8.28515625" style="5" customWidth="1"/>
    <col min="8455" max="8455" width="8.5703125" style="5" customWidth="1"/>
    <col min="8456" max="8456" width="16" style="5" customWidth="1"/>
    <col min="8457" max="8704" width="8.85546875" style="5"/>
    <col min="8705" max="8705" width="4.28515625" style="5" customWidth="1"/>
    <col min="8706" max="8706" width="10.85546875" style="5" customWidth="1"/>
    <col min="8707" max="8707" width="8.85546875" style="5"/>
    <col min="8708" max="8708" width="20.85546875" style="5" customWidth="1"/>
    <col min="8709" max="8709" width="8.85546875" style="5"/>
    <col min="8710" max="8710" width="8.28515625" style="5" customWidth="1"/>
    <col min="8711" max="8711" width="8.5703125" style="5" customWidth="1"/>
    <col min="8712" max="8712" width="16" style="5" customWidth="1"/>
    <col min="8713" max="8960" width="8.85546875" style="5"/>
    <col min="8961" max="8961" width="4.28515625" style="5" customWidth="1"/>
    <col min="8962" max="8962" width="10.85546875" style="5" customWidth="1"/>
    <col min="8963" max="8963" width="8.85546875" style="5"/>
    <col min="8964" max="8964" width="20.85546875" style="5" customWidth="1"/>
    <col min="8965" max="8965" width="8.85546875" style="5"/>
    <col min="8966" max="8966" width="8.28515625" style="5" customWidth="1"/>
    <col min="8967" max="8967" width="8.5703125" style="5" customWidth="1"/>
    <col min="8968" max="8968" width="16" style="5" customWidth="1"/>
    <col min="8969" max="9216" width="8.85546875" style="5"/>
    <col min="9217" max="9217" width="4.28515625" style="5" customWidth="1"/>
    <col min="9218" max="9218" width="10.85546875" style="5" customWidth="1"/>
    <col min="9219" max="9219" width="8.85546875" style="5"/>
    <col min="9220" max="9220" width="20.85546875" style="5" customWidth="1"/>
    <col min="9221" max="9221" width="8.85546875" style="5"/>
    <col min="9222" max="9222" width="8.28515625" style="5" customWidth="1"/>
    <col min="9223" max="9223" width="8.5703125" style="5" customWidth="1"/>
    <col min="9224" max="9224" width="16" style="5" customWidth="1"/>
    <col min="9225" max="9472" width="8.85546875" style="5"/>
    <col min="9473" max="9473" width="4.28515625" style="5" customWidth="1"/>
    <col min="9474" max="9474" width="10.85546875" style="5" customWidth="1"/>
    <col min="9475" max="9475" width="8.85546875" style="5"/>
    <col min="9476" max="9476" width="20.85546875" style="5" customWidth="1"/>
    <col min="9477" max="9477" width="8.85546875" style="5"/>
    <col min="9478" max="9478" width="8.28515625" style="5" customWidth="1"/>
    <col min="9479" max="9479" width="8.5703125" style="5" customWidth="1"/>
    <col min="9480" max="9480" width="16" style="5" customWidth="1"/>
    <col min="9481" max="9728" width="8.85546875" style="5"/>
    <col min="9729" max="9729" width="4.28515625" style="5" customWidth="1"/>
    <col min="9730" max="9730" width="10.85546875" style="5" customWidth="1"/>
    <col min="9731" max="9731" width="8.85546875" style="5"/>
    <col min="9732" max="9732" width="20.85546875" style="5" customWidth="1"/>
    <col min="9733" max="9733" width="8.85546875" style="5"/>
    <col min="9734" max="9734" width="8.28515625" style="5" customWidth="1"/>
    <col min="9735" max="9735" width="8.5703125" style="5" customWidth="1"/>
    <col min="9736" max="9736" width="16" style="5" customWidth="1"/>
    <col min="9737" max="9984" width="8.85546875" style="5"/>
    <col min="9985" max="9985" width="4.28515625" style="5" customWidth="1"/>
    <col min="9986" max="9986" width="10.85546875" style="5" customWidth="1"/>
    <col min="9987" max="9987" width="8.85546875" style="5"/>
    <col min="9988" max="9988" width="20.85546875" style="5" customWidth="1"/>
    <col min="9989" max="9989" width="8.85546875" style="5"/>
    <col min="9990" max="9990" width="8.28515625" style="5" customWidth="1"/>
    <col min="9991" max="9991" width="8.5703125" style="5" customWidth="1"/>
    <col min="9992" max="9992" width="16" style="5" customWidth="1"/>
    <col min="9993" max="10240" width="8.85546875" style="5"/>
    <col min="10241" max="10241" width="4.28515625" style="5" customWidth="1"/>
    <col min="10242" max="10242" width="10.85546875" style="5" customWidth="1"/>
    <col min="10243" max="10243" width="8.85546875" style="5"/>
    <col min="10244" max="10244" width="20.85546875" style="5" customWidth="1"/>
    <col min="10245" max="10245" width="8.85546875" style="5"/>
    <col min="10246" max="10246" width="8.28515625" style="5" customWidth="1"/>
    <col min="10247" max="10247" width="8.5703125" style="5" customWidth="1"/>
    <col min="10248" max="10248" width="16" style="5" customWidth="1"/>
    <col min="10249" max="10496" width="8.85546875" style="5"/>
    <col min="10497" max="10497" width="4.28515625" style="5" customWidth="1"/>
    <col min="10498" max="10498" width="10.85546875" style="5" customWidth="1"/>
    <col min="10499" max="10499" width="8.85546875" style="5"/>
    <col min="10500" max="10500" width="20.85546875" style="5" customWidth="1"/>
    <col min="10501" max="10501" width="8.85546875" style="5"/>
    <col min="10502" max="10502" width="8.28515625" style="5" customWidth="1"/>
    <col min="10503" max="10503" width="8.5703125" style="5" customWidth="1"/>
    <col min="10504" max="10504" width="16" style="5" customWidth="1"/>
    <col min="10505" max="10752" width="8.85546875" style="5"/>
    <col min="10753" max="10753" width="4.28515625" style="5" customWidth="1"/>
    <col min="10754" max="10754" width="10.85546875" style="5" customWidth="1"/>
    <col min="10755" max="10755" width="8.85546875" style="5"/>
    <col min="10756" max="10756" width="20.85546875" style="5" customWidth="1"/>
    <col min="10757" max="10757" width="8.85546875" style="5"/>
    <col min="10758" max="10758" width="8.28515625" style="5" customWidth="1"/>
    <col min="10759" max="10759" width="8.5703125" style="5" customWidth="1"/>
    <col min="10760" max="10760" width="16" style="5" customWidth="1"/>
    <col min="10761" max="11008" width="8.85546875" style="5"/>
    <col min="11009" max="11009" width="4.28515625" style="5" customWidth="1"/>
    <col min="11010" max="11010" width="10.85546875" style="5" customWidth="1"/>
    <col min="11011" max="11011" width="8.85546875" style="5"/>
    <col min="11012" max="11012" width="20.85546875" style="5" customWidth="1"/>
    <col min="11013" max="11013" width="8.85546875" style="5"/>
    <col min="11014" max="11014" width="8.28515625" style="5" customWidth="1"/>
    <col min="11015" max="11015" width="8.5703125" style="5" customWidth="1"/>
    <col min="11016" max="11016" width="16" style="5" customWidth="1"/>
    <col min="11017" max="11264" width="8.85546875" style="5"/>
    <col min="11265" max="11265" width="4.28515625" style="5" customWidth="1"/>
    <col min="11266" max="11266" width="10.85546875" style="5" customWidth="1"/>
    <col min="11267" max="11267" width="8.85546875" style="5"/>
    <col min="11268" max="11268" width="20.85546875" style="5" customWidth="1"/>
    <col min="11269" max="11269" width="8.85546875" style="5"/>
    <col min="11270" max="11270" width="8.28515625" style="5" customWidth="1"/>
    <col min="11271" max="11271" width="8.5703125" style="5" customWidth="1"/>
    <col min="11272" max="11272" width="16" style="5" customWidth="1"/>
    <col min="11273" max="11520" width="8.85546875" style="5"/>
    <col min="11521" max="11521" width="4.28515625" style="5" customWidth="1"/>
    <col min="11522" max="11522" width="10.85546875" style="5" customWidth="1"/>
    <col min="11523" max="11523" width="8.85546875" style="5"/>
    <col min="11524" max="11524" width="20.85546875" style="5" customWidth="1"/>
    <col min="11525" max="11525" width="8.85546875" style="5"/>
    <col min="11526" max="11526" width="8.28515625" style="5" customWidth="1"/>
    <col min="11527" max="11527" width="8.5703125" style="5" customWidth="1"/>
    <col min="11528" max="11528" width="16" style="5" customWidth="1"/>
    <col min="11529" max="11776" width="8.85546875" style="5"/>
    <col min="11777" max="11777" width="4.28515625" style="5" customWidth="1"/>
    <col min="11778" max="11778" width="10.85546875" style="5" customWidth="1"/>
    <col min="11779" max="11779" width="8.85546875" style="5"/>
    <col min="11780" max="11780" width="20.85546875" style="5" customWidth="1"/>
    <col min="11781" max="11781" width="8.85546875" style="5"/>
    <col min="11782" max="11782" width="8.28515625" style="5" customWidth="1"/>
    <col min="11783" max="11783" width="8.5703125" style="5" customWidth="1"/>
    <col min="11784" max="11784" width="16" style="5" customWidth="1"/>
    <col min="11785" max="12032" width="8.85546875" style="5"/>
    <col min="12033" max="12033" width="4.28515625" style="5" customWidth="1"/>
    <col min="12034" max="12034" width="10.85546875" style="5" customWidth="1"/>
    <col min="12035" max="12035" width="8.85546875" style="5"/>
    <col min="12036" max="12036" width="20.85546875" style="5" customWidth="1"/>
    <col min="12037" max="12037" width="8.85546875" style="5"/>
    <col min="12038" max="12038" width="8.28515625" style="5" customWidth="1"/>
    <col min="12039" max="12039" width="8.5703125" style="5" customWidth="1"/>
    <col min="12040" max="12040" width="16" style="5" customWidth="1"/>
    <col min="12041" max="12288" width="8.85546875" style="5"/>
    <col min="12289" max="12289" width="4.28515625" style="5" customWidth="1"/>
    <col min="12290" max="12290" width="10.85546875" style="5" customWidth="1"/>
    <col min="12291" max="12291" width="8.85546875" style="5"/>
    <col min="12292" max="12292" width="20.85546875" style="5" customWidth="1"/>
    <col min="12293" max="12293" width="8.85546875" style="5"/>
    <col min="12294" max="12294" width="8.28515625" style="5" customWidth="1"/>
    <col min="12295" max="12295" width="8.5703125" style="5" customWidth="1"/>
    <col min="12296" max="12296" width="16" style="5" customWidth="1"/>
    <col min="12297" max="12544" width="8.85546875" style="5"/>
    <col min="12545" max="12545" width="4.28515625" style="5" customWidth="1"/>
    <col min="12546" max="12546" width="10.85546875" style="5" customWidth="1"/>
    <col min="12547" max="12547" width="8.85546875" style="5"/>
    <col min="12548" max="12548" width="20.85546875" style="5" customWidth="1"/>
    <col min="12549" max="12549" width="8.85546875" style="5"/>
    <col min="12550" max="12550" width="8.28515625" style="5" customWidth="1"/>
    <col min="12551" max="12551" width="8.5703125" style="5" customWidth="1"/>
    <col min="12552" max="12552" width="16" style="5" customWidth="1"/>
    <col min="12553" max="12800" width="8.85546875" style="5"/>
    <col min="12801" max="12801" width="4.28515625" style="5" customWidth="1"/>
    <col min="12802" max="12802" width="10.85546875" style="5" customWidth="1"/>
    <col min="12803" max="12803" width="8.85546875" style="5"/>
    <col min="12804" max="12804" width="20.85546875" style="5" customWidth="1"/>
    <col min="12805" max="12805" width="8.85546875" style="5"/>
    <col min="12806" max="12806" width="8.28515625" style="5" customWidth="1"/>
    <col min="12807" max="12807" width="8.5703125" style="5" customWidth="1"/>
    <col min="12808" max="12808" width="16" style="5" customWidth="1"/>
    <col min="12809" max="13056" width="8.85546875" style="5"/>
    <col min="13057" max="13057" width="4.28515625" style="5" customWidth="1"/>
    <col min="13058" max="13058" width="10.85546875" style="5" customWidth="1"/>
    <col min="13059" max="13059" width="8.85546875" style="5"/>
    <col min="13060" max="13060" width="20.85546875" style="5" customWidth="1"/>
    <col min="13061" max="13061" width="8.85546875" style="5"/>
    <col min="13062" max="13062" width="8.28515625" style="5" customWidth="1"/>
    <col min="13063" max="13063" width="8.5703125" style="5" customWidth="1"/>
    <col min="13064" max="13064" width="16" style="5" customWidth="1"/>
    <col min="13065" max="13312" width="8.85546875" style="5"/>
    <col min="13313" max="13313" width="4.28515625" style="5" customWidth="1"/>
    <col min="13314" max="13314" width="10.85546875" style="5" customWidth="1"/>
    <col min="13315" max="13315" width="8.85546875" style="5"/>
    <col min="13316" max="13316" width="20.85546875" style="5" customWidth="1"/>
    <col min="13317" max="13317" width="8.85546875" style="5"/>
    <col min="13318" max="13318" width="8.28515625" style="5" customWidth="1"/>
    <col min="13319" max="13319" width="8.5703125" style="5" customWidth="1"/>
    <col min="13320" max="13320" width="16" style="5" customWidth="1"/>
    <col min="13321" max="13568" width="8.85546875" style="5"/>
    <col min="13569" max="13569" width="4.28515625" style="5" customWidth="1"/>
    <col min="13570" max="13570" width="10.85546875" style="5" customWidth="1"/>
    <col min="13571" max="13571" width="8.85546875" style="5"/>
    <col min="13572" max="13572" width="20.85546875" style="5" customWidth="1"/>
    <col min="13573" max="13573" width="8.85546875" style="5"/>
    <col min="13574" max="13574" width="8.28515625" style="5" customWidth="1"/>
    <col min="13575" max="13575" width="8.5703125" style="5" customWidth="1"/>
    <col min="13576" max="13576" width="16" style="5" customWidth="1"/>
    <col min="13577" max="13824" width="8.85546875" style="5"/>
    <col min="13825" max="13825" width="4.28515625" style="5" customWidth="1"/>
    <col min="13826" max="13826" width="10.85546875" style="5" customWidth="1"/>
    <col min="13827" max="13827" width="8.85546875" style="5"/>
    <col min="13828" max="13828" width="20.85546875" style="5" customWidth="1"/>
    <col min="13829" max="13829" width="8.85546875" style="5"/>
    <col min="13830" max="13830" width="8.28515625" style="5" customWidth="1"/>
    <col min="13831" max="13831" width="8.5703125" style="5" customWidth="1"/>
    <col min="13832" max="13832" width="16" style="5" customWidth="1"/>
    <col min="13833" max="14080" width="8.85546875" style="5"/>
    <col min="14081" max="14081" width="4.28515625" style="5" customWidth="1"/>
    <col min="14082" max="14082" width="10.85546875" style="5" customWidth="1"/>
    <col min="14083" max="14083" width="8.85546875" style="5"/>
    <col min="14084" max="14084" width="20.85546875" style="5" customWidth="1"/>
    <col min="14085" max="14085" width="8.85546875" style="5"/>
    <col min="14086" max="14086" width="8.28515625" style="5" customWidth="1"/>
    <col min="14087" max="14087" width="8.5703125" style="5" customWidth="1"/>
    <col min="14088" max="14088" width="16" style="5" customWidth="1"/>
    <col min="14089" max="14336" width="8.85546875" style="5"/>
    <col min="14337" max="14337" width="4.28515625" style="5" customWidth="1"/>
    <col min="14338" max="14338" width="10.85546875" style="5" customWidth="1"/>
    <col min="14339" max="14339" width="8.85546875" style="5"/>
    <col min="14340" max="14340" width="20.85546875" style="5" customWidth="1"/>
    <col min="14341" max="14341" width="8.85546875" style="5"/>
    <col min="14342" max="14342" width="8.28515625" style="5" customWidth="1"/>
    <col min="14343" max="14343" width="8.5703125" style="5" customWidth="1"/>
    <col min="14344" max="14344" width="16" style="5" customWidth="1"/>
    <col min="14345" max="14592" width="8.85546875" style="5"/>
    <col min="14593" max="14593" width="4.28515625" style="5" customWidth="1"/>
    <col min="14594" max="14594" width="10.85546875" style="5" customWidth="1"/>
    <col min="14595" max="14595" width="8.85546875" style="5"/>
    <col min="14596" max="14596" width="20.85546875" style="5" customWidth="1"/>
    <col min="14597" max="14597" width="8.85546875" style="5"/>
    <col min="14598" max="14598" width="8.28515625" style="5" customWidth="1"/>
    <col min="14599" max="14599" width="8.5703125" style="5" customWidth="1"/>
    <col min="14600" max="14600" width="16" style="5" customWidth="1"/>
    <col min="14601" max="14848" width="8.85546875" style="5"/>
    <col min="14849" max="14849" width="4.28515625" style="5" customWidth="1"/>
    <col min="14850" max="14850" width="10.85546875" style="5" customWidth="1"/>
    <col min="14851" max="14851" width="8.85546875" style="5"/>
    <col min="14852" max="14852" width="20.85546875" style="5" customWidth="1"/>
    <col min="14853" max="14853" width="8.85546875" style="5"/>
    <col min="14854" max="14854" width="8.28515625" style="5" customWidth="1"/>
    <col min="14855" max="14855" width="8.5703125" style="5" customWidth="1"/>
    <col min="14856" max="14856" width="16" style="5" customWidth="1"/>
    <col min="14857" max="15104" width="8.85546875" style="5"/>
    <col min="15105" max="15105" width="4.28515625" style="5" customWidth="1"/>
    <col min="15106" max="15106" width="10.85546875" style="5" customWidth="1"/>
    <col min="15107" max="15107" width="8.85546875" style="5"/>
    <col min="15108" max="15108" width="20.85546875" style="5" customWidth="1"/>
    <col min="15109" max="15109" width="8.85546875" style="5"/>
    <col min="15110" max="15110" width="8.28515625" style="5" customWidth="1"/>
    <col min="15111" max="15111" width="8.5703125" style="5" customWidth="1"/>
    <col min="15112" max="15112" width="16" style="5" customWidth="1"/>
    <col min="15113" max="15360" width="8.85546875" style="5"/>
    <col min="15361" max="15361" width="4.28515625" style="5" customWidth="1"/>
    <col min="15362" max="15362" width="10.85546875" style="5" customWidth="1"/>
    <col min="15363" max="15363" width="8.85546875" style="5"/>
    <col min="15364" max="15364" width="20.85546875" style="5" customWidth="1"/>
    <col min="15365" max="15365" width="8.85546875" style="5"/>
    <col min="15366" max="15366" width="8.28515625" style="5" customWidth="1"/>
    <col min="15367" max="15367" width="8.5703125" style="5" customWidth="1"/>
    <col min="15368" max="15368" width="16" style="5" customWidth="1"/>
    <col min="15369" max="15616" width="8.85546875" style="5"/>
    <col min="15617" max="15617" width="4.28515625" style="5" customWidth="1"/>
    <col min="15618" max="15618" width="10.85546875" style="5" customWidth="1"/>
    <col min="15619" max="15619" width="8.85546875" style="5"/>
    <col min="15620" max="15620" width="20.85546875" style="5" customWidth="1"/>
    <col min="15621" max="15621" width="8.85546875" style="5"/>
    <col min="15622" max="15622" width="8.28515625" style="5" customWidth="1"/>
    <col min="15623" max="15623" width="8.5703125" style="5" customWidth="1"/>
    <col min="15624" max="15624" width="16" style="5" customWidth="1"/>
    <col min="15625" max="15872" width="8.85546875" style="5"/>
    <col min="15873" max="15873" width="4.28515625" style="5" customWidth="1"/>
    <col min="15874" max="15874" width="10.85546875" style="5" customWidth="1"/>
    <col min="15875" max="15875" width="8.85546875" style="5"/>
    <col min="15876" max="15876" width="20.85546875" style="5" customWidth="1"/>
    <col min="15877" max="15877" width="8.85546875" style="5"/>
    <col min="15878" max="15878" width="8.28515625" style="5" customWidth="1"/>
    <col min="15879" max="15879" width="8.5703125" style="5" customWidth="1"/>
    <col min="15880" max="15880" width="16" style="5" customWidth="1"/>
    <col min="15881" max="16128" width="8.85546875" style="5"/>
    <col min="16129" max="16129" width="4.28515625" style="5" customWidth="1"/>
    <col min="16130" max="16130" width="10.85546875" style="5" customWidth="1"/>
    <col min="16131" max="16131" width="8.85546875" style="5"/>
    <col min="16132" max="16132" width="20.85546875" style="5" customWidth="1"/>
    <col min="16133" max="16133" width="8.85546875" style="5"/>
    <col min="16134" max="16134" width="8.28515625" style="5" customWidth="1"/>
    <col min="16135" max="16135" width="8.5703125" style="5" customWidth="1"/>
    <col min="16136" max="16136" width="16" style="5" customWidth="1"/>
    <col min="16137" max="16384" width="8.85546875" style="5"/>
  </cols>
  <sheetData>
    <row r="1" spans="2:257" ht="18.2" customHeight="1">
      <c r="B1" s="581"/>
      <c r="C1" s="581"/>
      <c r="D1" s="581"/>
      <c r="E1" s="582"/>
      <c r="F1" s="582"/>
      <c r="G1" s="582"/>
      <c r="H1" s="583"/>
      <c r="I1" s="583"/>
      <c r="J1" s="583"/>
      <c r="K1" s="583"/>
      <c r="L1" s="583"/>
      <c r="M1" s="583"/>
      <c r="N1" s="582"/>
      <c r="O1" s="582"/>
      <c r="P1" s="584"/>
      <c r="Q1" s="584"/>
      <c r="R1" s="585"/>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c r="AW1" s="584"/>
      <c r="AX1" s="584"/>
      <c r="AY1" s="584"/>
      <c r="AZ1" s="584"/>
      <c r="BA1" s="584"/>
      <c r="BB1" s="584"/>
      <c r="BC1" s="584"/>
      <c r="BD1" s="584"/>
      <c r="BE1" s="584"/>
      <c r="BF1" s="584"/>
      <c r="BG1" s="584"/>
      <c r="BH1" s="584"/>
      <c r="BI1" s="584"/>
      <c r="BJ1" s="584"/>
      <c r="BK1" s="584"/>
      <c r="BL1" s="584"/>
      <c r="BM1" s="584"/>
      <c r="BN1" s="584"/>
      <c r="BO1" s="584"/>
      <c r="BP1" s="584"/>
      <c r="BQ1" s="584"/>
      <c r="BR1" s="584"/>
      <c r="BS1" s="584"/>
      <c r="BT1" s="584"/>
      <c r="BU1" s="584"/>
      <c r="BV1" s="584"/>
      <c r="BW1" s="584"/>
      <c r="BX1" s="584"/>
      <c r="BY1" s="584"/>
      <c r="BZ1" s="584"/>
      <c r="CA1" s="584"/>
      <c r="CB1" s="584"/>
      <c r="CC1" s="584"/>
      <c r="CD1" s="584"/>
      <c r="CE1" s="584"/>
      <c r="CF1" s="584"/>
      <c r="CG1" s="584"/>
      <c r="CH1" s="584"/>
      <c r="CI1" s="584"/>
      <c r="CJ1" s="584"/>
      <c r="CK1" s="584"/>
      <c r="CL1" s="584"/>
      <c r="CM1" s="584"/>
      <c r="CN1" s="584"/>
      <c r="CO1" s="584"/>
      <c r="CP1" s="584"/>
      <c r="CQ1" s="584"/>
      <c r="CR1" s="584"/>
      <c r="CS1" s="584"/>
      <c r="CT1" s="584"/>
      <c r="CU1" s="584"/>
      <c r="CV1" s="584"/>
      <c r="CW1" s="584"/>
      <c r="CX1" s="584"/>
      <c r="CY1" s="584"/>
      <c r="CZ1" s="584"/>
      <c r="DA1" s="584"/>
      <c r="DB1" s="584"/>
      <c r="DC1" s="584"/>
      <c r="DD1" s="584"/>
      <c r="DE1" s="584"/>
      <c r="DF1" s="584"/>
      <c r="DG1" s="584"/>
      <c r="DH1" s="584"/>
      <c r="DI1" s="584"/>
      <c r="DJ1" s="584"/>
      <c r="DK1" s="584"/>
      <c r="DL1" s="584"/>
      <c r="DM1" s="584"/>
      <c r="DN1" s="584"/>
      <c r="DO1" s="584"/>
      <c r="DP1" s="584"/>
      <c r="DQ1" s="584"/>
      <c r="DR1" s="584"/>
      <c r="DS1" s="584"/>
      <c r="DT1" s="584"/>
      <c r="DU1" s="584"/>
      <c r="DV1" s="584"/>
      <c r="DW1" s="584"/>
      <c r="DX1" s="584"/>
      <c r="DY1" s="584"/>
      <c r="DZ1" s="584"/>
      <c r="EA1" s="584"/>
      <c r="EB1" s="584"/>
      <c r="EC1" s="584"/>
      <c r="ED1" s="584"/>
      <c r="EE1" s="584"/>
      <c r="EF1" s="584"/>
      <c r="EG1" s="584"/>
      <c r="EH1" s="584"/>
      <c r="EI1" s="584"/>
      <c r="EJ1" s="584"/>
      <c r="EK1" s="584"/>
      <c r="EL1" s="584"/>
      <c r="EM1" s="584"/>
      <c r="EN1" s="584"/>
      <c r="EO1" s="584"/>
      <c r="EP1" s="584"/>
      <c r="EQ1" s="584"/>
      <c r="ER1" s="584"/>
      <c r="ES1" s="584"/>
      <c r="ET1" s="584"/>
      <c r="EU1" s="584"/>
      <c r="EV1" s="584"/>
      <c r="EW1" s="584"/>
      <c r="EX1" s="584"/>
      <c r="EY1" s="584"/>
      <c r="EZ1" s="584"/>
      <c r="FA1" s="584"/>
      <c r="FB1" s="584"/>
      <c r="FC1" s="584"/>
      <c r="FD1" s="584"/>
      <c r="FE1" s="584"/>
      <c r="FF1" s="584"/>
      <c r="FG1" s="584"/>
      <c r="FH1" s="584"/>
      <c r="FI1" s="584"/>
      <c r="FJ1" s="584"/>
      <c r="FK1" s="584"/>
      <c r="FL1" s="584"/>
      <c r="FM1" s="584"/>
      <c r="FN1" s="584"/>
      <c r="FO1" s="584"/>
      <c r="FP1" s="584"/>
      <c r="FQ1" s="584"/>
      <c r="FR1" s="584"/>
      <c r="FS1" s="584"/>
      <c r="FT1" s="584"/>
      <c r="FU1" s="584"/>
      <c r="FV1" s="584"/>
      <c r="FW1" s="584"/>
      <c r="FX1" s="584"/>
      <c r="FY1" s="584"/>
      <c r="FZ1" s="584"/>
      <c r="GA1" s="584"/>
      <c r="GB1" s="584"/>
      <c r="GC1" s="584"/>
      <c r="GD1" s="584"/>
      <c r="GE1" s="584"/>
      <c r="GF1" s="584"/>
      <c r="GG1" s="584"/>
      <c r="GH1" s="584"/>
      <c r="GI1" s="584"/>
      <c r="GJ1" s="584"/>
      <c r="GK1" s="584"/>
      <c r="GL1" s="584"/>
      <c r="GM1" s="584"/>
      <c r="GN1" s="584"/>
      <c r="GO1" s="584"/>
      <c r="GP1" s="584"/>
      <c r="GQ1" s="584"/>
      <c r="GR1" s="584"/>
      <c r="GS1" s="584"/>
      <c r="GT1" s="584"/>
      <c r="GU1" s="584"/>
      <c r="GV1" s="584"/>
      <c r="GW1" s="584"/>
      <c r="GX1" s="584"/>
      <c r="GY1" s="584"/>
      <c r="GZ1" s="584"/>
      <c r="HA1" s="584"/>
      <c r="HB1" s="584"/>
      <c r="HC1" s="584"/>
      <c r="HD1" s="584"/>
      <c r="HE1" s="584"/>
      <c r="HF1" s="584"/>
      <c r="HG1" s="584"/>
      <c r="HH1" s="584"/>
      <c r="HI1" s="584"/>
      <c r="HJ1" s="584"/>
      <c r="HK1" s="584"/>
      <c r="HL1" s="584"/>
      <c r="HM1" s="584"/>
      <c r="HN1" s="584"/>
      <c r="HO1" s="584"/>
      <c r="HP1" s="584"/>
      <c r="HQ1" s="584"/>
      <c r="HR1" s="584"/>
      <c r="HS1" s="584"/>
      <c r="HT1" s="584"/>
      <c r="HU1" s="584"/>
      <c r="HV1" s="584"/>
      <c r="HW1" s="584"/>
      <c r="HX1" s="584"/>
      <c r="HY1" s="584"/>
      <c r="HZ1" s="584"/>
      <c r="IA1" s="584"/>
      <c r="IB1" s="584"/>
      <c r="IC1" s="584"/>
      <c r="ID1" s="584"/>
      <c r="IE1" s="584"/>
      <c r="IF1" s="584"/>
      <c r="IG1" s="584"/>
      <c r="IH1" s="584"/>
      <c r="II1" s="584"/>
      <c r="IJ1" s="584"/>
      <c r="IK1" s="584"/>
      <c r="IL1" s="584"/>
      <c r="IM1" s="584"/>
      <c r="IN1" s="584"/>
      <c r="IO1" s="584"/>
      <c r="IP1" s="584"/>
      <c r="IQ1" s="584"/>
      <c r="IR1" s="584"/>
      <c r="IS1" s="584"/>
      <c r="IT1" s="584"/>
      <c r="IU1" s="584"/>
      <c r="IV1" s="584"/>
      <c r="IW1" s="584"/>
    </row>
    <row r="2" spans="2:257" ht="15.75">
      <c r="B2" s="581"/>
      <c r="C2" s="581"/>
      <c r="D2" s="581"/>
      <c r="E2" s="582"/>
      <c r="F2" s="582"/>
      <c r="G2" s="582"/>
      <c r="H2" s="583"/>
      <c r="I2" s="583"/>
      <c r="J2" s="583"/>
      <c r="K2" s="583"/>
      <c r="L2" s="583"/>
      <c r="M2" s="583"/>
      <c r="N2" s="582"/>
      <c r="O2" s="582"/>
      <c r="P2" s="584"/>
      <c r="Q2" s="584"/>
      <c r="R2" s="584"/>
      <c r="S2" s="585" t="s">
        <v>12</v>
      </c>
      <c r="T2" s="584"/>
      <c r="U2" s="584"/>
      <c r="V2" s="584"/>
      <c r="W2" s="584"/>
      <c r="X2" s="584"/>
      <c r="Y2" s="584"/>
      <c r="Z2" s="584"/>
      <c r="AA2" s="584"/>
      <c r="AB2" s="584"/>
      <c r="AC2" s="584"/>
      <c r="AD2" s="584"/>
      <c r="AE2" s="584"/>
      <c r="AF2" s="584"/>
      <c r="AG2" s="584"/>
      <c r="AH2" s="584"/>
      <c r="AI2" s="584"/>
      <c r="AJ2" s="584"/>
      <c r="AK2" s="584"/>
      <c r="AL2" s="584"/>
      <c r="AM2" s="584"/>
      <c r="AN2" s="584"/>
      <c r="AO2" s="584"/>
      <c r="AP2" s="584"/>
      <c r="AQ2" s="584"/>
      <c r="AR2" s="584"/>
      <c r="AS2" s="584"/>
      <c r="AT2" s="584"/>
      <c r="AU2" s="584"/>
      <c r="AV2" s="584"/>
      <c r="AW2" s="584"/>
      <c r="AX2" s="584"/>
      <c r="AY2" s="584"/>
      <c r="AZ2" s="584"/>
      <c r="BA2" s="584"/>
      <c r="BB2" s="584"/>
      <c r="BC2" s="584"/>
      <c r="BD2" s="584"/>
      <c r="BE2" s="584"/>
      <c r="BF2" s="584"/>
      <c r="BG2" s="584"/>
      <c r="BH2" s="584"/>
      <c r="BI2" s="584"/>
      <c r="BJ2" s="584"/>
      <c r="BK2" s="584"/>
      <c r="BL2" s="584"/>
      <c r="BM2" s="584"/>
      <c r="BN2" s="584"/>
      <c r="BO2" s="584"/>
      <c r="BP2" s="584"/>
      <c r="BQ2" s="584"/>
      <c r="BR2" s="584"/>
      <c r="BS2" s="584"/>
      <c r="BT2" s="584"/>
      <c r="BU2" s="584"/>
      <c r="BV2" s="584"/>
      <c r="BW2" s="584"/>
      <c r="BX2" s="584"/>
      <c r="BY2" s="584"/>
      <c r="BZ2" s="584"/>
      <c r="CA2" s="584"/>
      <c r="CB2" s="584"/>
      <c r="CC2" s="584"/>
      <c r="CD2" s="584"/>
      <c r="CE2" s="584"/>
      <c r="CF2" s="584"/>
      <c r="CG2" s="584"/>
      <c r="CH2" s="584"/>
      <c r="CI2" s="584"/>
      <c r="CJ2" s="584"/>
      <c r="CK2" s="584"/>
      <c r="CL2" s="584"/>
      <c r="CM2" s="584"/>
      <c r="CN2" s="584"/>
      <c r="CO2" s="584"/>
      <c r="CP2" s="584"/>
      <c r="CQ2" s="584"/>
      <c r="CR2" s="584"/>
      <c r="CS2" s="584"/>
      <c r="CT2" s="584"/>
      <c r="CU2" s="584"/>
      <c r="CV2" s="584"/>
      <c r="CW2" s="584"/>
      <c r="CX2" s="584"/>
      <c r="CY2" s="584"/>
      <c r="CZ2" s="584"/>
      <c r="DA2" s="584"/>
      <c r="DB2" s="584"/>
      <c r="DC2" s="584"/>
      <c r="DD2" s="584"/>
      <c r="DE2" s="584"/>
      <c r="DF2" s="584"/>
      <c r="DG2" s="584"/>
      <c r="DH2" s="584"/>
      <c r="DI2" s="584"/>
      <c r="DJ2" s="584"/>
      <c r="DK2" s="584"/>
      <c r="DL2" s="584"/>
      <c r="DM2" s="584"/>
      <c r="DN2" s="584"/>
      <c r="DO2" s="584"/>
      <c r="DP2" s="584"/>
      <c r="DQ2" s="584"/>
      <c r="DR2" s="584"/>
      <c r="DS2" s="584"/>
      <c r="DT2" s="584"/>
      <c r="DU2" s="584"/>
      <c r="DV2" s="584"/>
      <c r="DW2" s="584"/>
      <c r="DX2" s="584"/>
      <c r="DY2" s="584"/>
      <c r="DZ2" s="584"/>
      <c r="EA2" s="584"/>
      <c r="EB2" s="584"/>
      <c r="EC2" s="584"/>
      <c r="ED2" s="584"/>
      <c r="EE2" s="584"/>
      <c r="EF2" s="584"/>
      <c r="EG2" s="584"/>
      <c r="EH2" s="584"/>
      <c r="EI2" s="584"/>
      <c r="EJ2" s="584"/>
      <c r="EK2" s="584"/>
      <c r="EL2" s="584"/>
      <c r="EM2" s="584"/>
      <c r="EN2" s="584"/>
      <c r="EO2" s="584"/>
      <c r="EP2" s="584"/>
      <c r="EQ2" s="584"/>
      <c r="ER2" s="584"/>
      <c r="ES2" s="584"/>
      <c r="ET2" s="584"/>
      <c r="EU2" s="584"/>
      <c r="EV2" s="584"/>
      <c r="EW2" s="584"/>
      <c r="EX2" s="584"/>
      <c r="EY2" s="584"/>
      <c r="EZ2" s="584"/>
      <c r="FA2" s="584"/>
      <c r="FB2" s="584"/>
      <c r="FC2" s="584"/>
      <c r="FD2" s="584"/>
      <c r="FE2" s="584"/>
      <c r="FF2" s="584"/>
      <c r="FG2" s="584"/>
      <c r="FH2" s="584"/>
      <c r="FI2" s="584"/>
      <c r="FJ2" s="584"/>
      <c r="FK2" s="584"/>
      <c r="FL2" s="584"/>
      <c r="FM2" s="584"/>
      <c r="FN2" s="584"/>
      <c r="FO2" s="584"/>
      <c r="FP2" s="584"/>
      <c r="FQ2" s="584"/>
      <c r="FR2" s="584"/>
      <c r="FS2" s="584"/>
      <c r="FT2" s="584"/>
      <c r="FU2" s="584"/>
      <c r="FV2" s="584"/>
      <c r="FW2" s="584"/>
      <c r="FX2" s="584"/>
      <c r="FY2" s="584"/>
      <c r="FZ2" s="584"/>
      <c r="GA2" s="584"/>
      <c r="GB2" s="584"/>
      <c r="GC2" s="584"/>
      <c r="GD2" s="584"/>
      <c r="GE2" s="584"/>
      <c r="GF2" s="584"/>
      <c r="GG2" s="584"/>
      <c r="GH2" s="584"/>
      <c r="GI2" s="584"/>
      <c r="GJ2" s="584"/>
      <c r="GK2" s="584"/>
      <c r="GL2" s="584"/>
      <c r="GM2" s="584"/>
      <c r="GN2" s="584"/>
      <c r="GO2" s="584"/>
      <c r="GP2" s="584"/>
      <c r="GQ2" s="584"/>
      <c r="GR2" s="584"/>
      <c r="GS2" s="584"/>
      <c r="GT2" s="584"/>
      <c r="GU2" s="584"/>
      <c r="GV2" s="584"/>
      <c r="GW2" s="584"/>
      <c r="GX2" s="584"/>
      <c r="GY2" s="584"/>
      <c r="GZ2" s="584"/>
      <c r="HA2" s="584"/>
      <c r="HB2" s="584"/>
      <c r="HC2" s="584"/>
      <c r="HD2" s="584"/>
      <c r="HE2" s="584"/>
      <c r="HF2" s="584"/>
      <c r="HG2" s="584"/>
      <c r="HH2" s="584"/>
      <c r="HI2" s="584"/>
      <c r="HJ2" s="584"/>
      <c r="HK2" s="584"/>
      <c r="HL2" s="584"/>
      <c r="HM2" s="584"/>
      <c r="HN2" s="584"/>
      <c r="HO2" s="584"/>
      <c r="HP2" s="584"/>
      <c r="HQ2" s="584"/>
      <c r="HR2" s="584"/>
      <c r="HS2" s="584"/>
      <c r="HT2" s="584"/>
      <c r="HU2" s="584"/>
      <c r="HV2" s="584"/>
      <c r="HW2" s="584"/>
      <c r="HX2" s="584"/>
      <c r="HY2" s="584"/>
      <c r="HZ2" s="584"/>
      <c r="IA2" s="584"/>
      <c r="IB2" s="584"/>
      <c r="IC2" s="584"/>
      <c r="ID2" s="584"/>
      <c r="IE2" s="584"/>
      <c r="IF2" s="584"/>
      <c r="IG2" s="584"/>
      <c r="IH2" s="584"/>
      <c r="II2" s="584"/>
      <c r="IJ2" s="584"/>
      <c r="IK2" s="584"/>
      <c r="IL2" s="584"/>
      <c r="IM2" s="584"/>
      <c r="IN2" s="584"/>
      <c r="IO2" s="584"/>
      <c r="IP2" s="584"/>
      <c r="IQ2" s="584"/>
      <c r="IR2" s="584"/>
      <c r="IS2" s="584"/>
      <c r="IT2" s="584"/>
      <c r="IU2" s="584"/>
      <c r="IV2" s="584"/>
      <c r="IW2" s="584"/>
    </row>
    <row r="3" spans="2:257" ht="15.2" customHeight="1">
      <c r="B3" s="581"/>
      <c r="C3" s="581"/>
      <c r="D3" s="581"/>
      <c r="E3" s="582"/>
      <c r="F3" s="582"/>
      <c r="G3" s="582"/>
      <c r="H3" s="583"/>
      <c r="I3" s="583"/>
      <c r="J3" s="583"/>
      <c r="K3" s="583"/>
      <c r="L3" s="583"/>
      <c r="M3" s="583"/>
      <c r="N3" s="582"/>
      <c r="O3" s="582"/>
      <c r="P3" s="584"/>
      <c r="Q3" s="584"/>
      <c r="R3" s="584"/>
      <c r="S3" s="585" t="s">
        <v>965</v>
      </c>
      <c r="T3" s="584"/>
      <c r="U3" s="584"/>
      <c r="V3" s="584"/>
      <c r="W3" s="584"/>
      <c r="X3" s="584"/>
      <c r="Y3" s="584"/>
      <c r="Z3" s="584"/>
      <c r="AA3" s="584"/>
      <c r="AB3" s="584"/>
      <c r="AC3" s="584"/>
      <c r="AD3" s="584"/>
      <c r="AE3" s="584"/>
      <c r="AF3" s="584"/>
      <c r="AG3" s="584"/>
      <c r="AH3" s="584"/>
      <c r="AI3" s="584"/>
      <c r="AJ3" s="584"/>
      <c r="AK3" s="584"/>
      <c r="AL3" s="584"/>
      <c r="AM3" s="584"/>
      <c r="AN3" s="584"/>
      <c r="AO3" s="584"/>
      <c r="AP3" s="584"/>
      <c r="AQ3" s="584"/>
      <c r="AR3" s="584"/>
      <c r="AS3" s="584"/>
      <c r="AT3" s="584"/>
      <c r="AU3" s="584"/>
      <c r="AV3" s="584"/>
      <c r="AW3" s="584"/>
      <c r="AX3" s="584"/>
      <c r="AY3" s="584"/>
      <c r="AZ3" s="584"/>
      <c r="BA3" s="584"/>
      <c r="BB3" s="584"/>
      <c r="BC3" s="584"/>
      <c r="BD3" s="584"/>
      <c r="BE3" s="584"/>
      <c r="BF3" s="584"/>
      <c r="BG3" s="584"/>
      <c r="BH3" s="584"/>
      <c r="BI3" s="584"/>
      <c r="BJ3" s="584"/>
      <c r="BK3" s="584"/>
      <c r="BL3" s="584"/>
      <c r="BM3" s="584"/>
      <c r="BN3" s="584"/>
      <c r="BO3" s="584"/>
      <c r="BP3" s="584"/>
      <c r="BQ3" s="584"/>
      <c r="BR3" s="584"/>
      <c r="BS3" s="584"/>
      <c r="BT3" s="584"/>
      <c r="BU3" s="584"/>
      <c r="BV3" s="584"/>
      <c r="BW3" s="584"/>
      <c r="BX3" s="584"/>
      <c r="BY3" s="584"/>
      <c r="BZ3" s="584"/>
      <c r="CA3" s="584"/>
      <c r="CB3" s="584"/>
      <c r="CC3" s="584"/>
      <c r="CD3" s="584"/>
      <c r="CE3" s="584"/>
      <c r="CF3" s="584"/>
      <c r="CG3" s="584"/>
      <c r="CH3" s="584"/>
      <c r="CI3" s="584"/>
      <c r="CJ3" s="584"/>
      <c r="CK3" s="584"/>
      <c r="CL3" s="584"/>
      <c r="CM3" s="584"/>
      <c r="CN3" s="584"/>
      <c r="CO3" s="584"/>
      <c r="CP3" s="584"/>
      <c r="CQ3" s="584"/>
      <c r="CR3" s="584"/>
      <c r="CS3" s="584"/>
      <c r="CT3" s="584"/>
      <c r="CU3" s="584"/>
      <c r="CV3" s="584"/>
      <c r="CW3" s="584"/>
      <c r="CX3" s="584"/>
      <c r="CY3" s="584"/>
      <c r="CZ3" s="584"/>
      <c r="DA3" s="584"/>
      <c r="DB3" s="584"/>
      <c r="DC3" s="584"/>
      <c r="DD3" s="584"/>
      <c r="DE3" s="584"/>
      <c r="DF3" s="584"/>
      <c r="DG3" s="584"/>
      <c r="DH3" s="584"/>
      <c r="DI3" s="584"/>
      <c r="DJ3" s="584"/>
      <c r="DK3" s="584"/>
      <c r="DL3" s="584"/>
      <c r="DM3" s="584"/>
      <c r="DN3" s="584"/>
      <c r="DO3" s="584"/>
      <c r="DP3" s="584"/>
      <c r="DQ3" s="584"/>
      <c r="DR3" s="584"/>
      <c r="DS3" s="584"/>
      <c r="DT3" s="584"/>
      <c r="DU3" s="584"/>
      <c r="DV3" s="584"/>
      <c r="DW3" s="584"/>
      <c r="DX3" s="584"/>
      <c r="DY3" s="584"/>
      <c r="DZ3" s="584"/>
      <c r="EA3" s="584"/>
      <c r="EB3" s="584"/>
      <c r="EC3" s="584"/>
      <c r="ED3" s="584"/>
      <c r="EE3" s="584"/>
      <c r="EF3" s="584"/>
      <c r="EG3" s="584"/>
      <c r="EH3" s="584"/>
      <c r="EI3" s="584"/>
      <c r="EJ3" s="584"/>
      <c r="EK3" s="584"/>
      <c r="EL3" s="584"/>
      <c r="EM3" s="584"/>
      <c r="EN3" s="584"/>
      <c r="EO3" s="584"/>
      <c r="EP3" s="584"/>
      <c r="EQ3" s="584"/>
      <c r="ER3" s="584"/>
      <c r="ES3" s="584"/>
      <c r="ET3" s="584"/>
      <c r="EU3" s="584"/>
      <c r="EV3" s="584"/>
      <c r="EW3" s="584"/>
      <c r="EX3" s="584"/>
      <c r="EY3" s="584"/>
      <c r="EZ3" s="584"/>
      <c r="FA3" s="584"/>
      <c r="FB3" s="584"/>
      <c r="FC3" s="584"/>
      <c r="FD3" s="584"/>
      <c r="FE3" s="584"/>
      <c r="FF3" s="584"/>
      <c r="FG3" s="584"/>
      <c r="FH3" s="584"/>
      <c r="FI3" s="584"/>
      <c r="FJ3" s="584"/>
      <c r="FK3" s="584"/>
      <c r="FL3" s="584"/>
      <c r="FM3" s="584"/>
      <c r="FN3" s="584"/>
      <c r="FO3" s="584"/>
      <c r="FP3" s="584"/>
      <c r="FQ3" s="584"/>
      <c r="FR3" s="584"/>
      <c r="FS3" s="584"/>
      <c r="FT3" s="584"/>
      <c r="FU3" s="584"/>
      <c r="FV3" s="584"/>
      <c r="FW3" s="584"/>
      <c r="FX3" s="584"/>
      <c r="FY3" s="584"/>
      <c r="FZ3" s="584"/>
      <c r="GA3" s="584"/>
      <c r="GB3" s="584"/>
      <c r="GC3" s="584"/>
      <c r="GD3" s="584"/>
      <c r="GE3" s="584"/>
      <c r="GF3" s="584"/>
      <c r="GG3" s="584"/>
      <c r="GH3" s="584"/>
      <c r="GI3" s="584"/>
      <c r="GJ3" s="584"/>
      <c r="GK3" s="584"/>
      <c r="GL3" s="584"/>
      <c r="GM3" s="584"/>
      <c r="GN3" s="584"/>
      <c r="GO3" s="584"/>
      <c r="GP3" s="584"/>
      <c r="GQ3" s="584"/>
      <c r="GR3" s="584"/>
      <c r="GS3" s="584"/>
      <c r="GT3" s="584"/>
      <c r="GU3" s="584"/>
      <c r="GV3" s="584"/>
      <c r="GW3" s="584"/>
      <c r="GX3" s="584"/>
      <c r="GY3" s="584"/>
      <c r="GZ3" s="584"/>
      <c r="HA3" s="584"/>
      <c r="HB3" s="584"/>
      <c r="HC3" s="584"/>
      <c r="HD3" s="584"/>
      <c r="HE3" s="584"/>
      <c r="HF3" s="584"/>
      <c r="HG3" s="584"/>
      <c r="HH3" s="584"/>
      <c r="HI3" s="584"/>
      <c r="HJ3" s="584"/>
      <c r="HK3" s="584"/>
      <c r="HL3" s="584"/>
      <c r="HM3" s="584"/>
      <c r="HN3" s="584"/>
      <c r="HO3" s="584"/>
      <c r="HP3" s="584"/>
      <c r="HQ3" s="584"/>
      <c r="HR3" s="584"/>
      <c r="HS3" s="584"/>
      <c r="HT3" s="584"/>
      <c r="HU3" s="584"/>
      <c r="HV3" s="584"/>
      <c r="HW3" s="584"/>
      <c r="HX3" s="584"/>
      <c r="HY3" s="584"/>
      <c r="HZ3" s="584"/>
      <c r="IA3" s="584"/>
      <c r="IB3" s="584"/>
      <c r="IC3" s="584"/>
      <c r="ID3" s="584"/>
      <c r="IE3" s="584"/>
      <c r="IF3" s="584"/>
      <c r="IG3" s="584"/>
      <c r="IH3" s="584"/>
      <c r="II3" s="584"/>
      <c r="IJ3" s="584"/>
      <c r="IK3" s="584"/>
      <c r="IL3" s="584"/>
      <c r="IM3" s="584"/>
      <c r="IN3" s="584"/>
      <c r="IO3" s="584"/>
      <c r="IP3" s="584"/>
      <c r="IQ3" s="584"/>
      <c r="IR3" s="584"/>
      <c r="IS3" s="584"/>
      <c r="IT3" s="584"/>
      <c r="IU3" s="584"/>
      <c r="IV3" s="584"/>
      <c r="IW3" s="584"/>
    </row>
    <row r="4" spans="2:257" ht="15.2" customHeight="1">
      <c r="B4" s="581"/>
      <c r="C4" s="581"/>
      <c r="D4" s="581"/>
      <c r="E4" s="582"/>
      <c r="F4" s="582"/>
      <c r="G4" s="582"/>
      <c r="H4" s="583"/>
      <c r="I4" s="583"/>
      <c r="J4" s="583"/>
      <c r="K4" s="583"/>
      <c r="L4" s="583"/>
      <c r="M4" s="583"/>
      <c r="N4" s="582"/>
      <c r="O4" s="582"/>
      <c r="P4" s="584"/>
      <c r="Q4" s="584"/>
      <c r="R4" s="584"/>
      <c r="S4" s="585" t="s">
        <v>966</v>
      </c>
      <c r="T4" s="584"/>
      <c r="U4" s="584"/>
      <c r="V4" s="584"/>
      <c r="W4" s="584"/>
      <c r="X4" s="584"/>
      <c r="Y4" s="584"/>
      <c r="Z4" s="584"/>
      <c r="AA4" s="584"/>
      <c r="AB4" s="584"/>
      <c r="AC4" s="584"/>
      <c r="AD4" s="584"/>
      <c r="AE4" s="584"/>
      <c r="AF4" s="584"/>
      <c r="AG4" s="584"/>
      <c r="AH4" s="584"/>
      <c r="AI4" s="584"/>
      <c r="AJ4" s="584"/>
      <c r="AK4" s="584"/>
      <c r="AL4" s="584"/>
      <c r="AM4" s="584"/>
      <c r="AN4" s="584"/>
      <c r="AO4" s="584"/>
      <c r="AP4" s="584"/>
      <c r="AQ4" s="584"/>
      <c r="AR4" s="584"/>
      <c r="AS4" s="584"/>
      <c r="AT4" s="584"/>
      <c r="AU4" s="584"/>
      <c r="AV4" s="584"/>
      <c r="AW4" s="584"/>
      <c r="AX4" s="584"/>
      <c r="AY4" s="584"/>
      <c r="AZ4" s="584"/>
      <c r="BA4" s="584"/>
      <c r="BB4" s="584"/>
      <c r="BC4" s="584"/>
      <c r="BD4" s="584"/>
      <c r="BE4" s="584"/>
      <c r="BF4" s="584"/>
      <c r="BG4" s="584"/>
      <c r="BH4" s="584"/>
      <c r="BI4" s="584"/>
      <c r="BJ4" s="584"/>
      <c r="BK4" s="584"/>
      <c r="BL4" s="584"/>
      <c r="BM4" s="584"/>
      <c r="BN4" s="584"/>
      <c r="BO4" s="584"/>
      <c r="BP4" s="584"/>
      <c r="BQ4" s="584"/>
      <c r="BR4" s="584"/>
      <c r="BS4" s="584"/>
      <c r="BT4" s="584"/>
      <c r="BU4" s="584"/>
      <c r="BV4" s="584"/>
      <c r="BW4" s="584"/>
      <c r="BX4" s="584"/>
      <c r="BY4" s="584"/>
      <c r="BZ4" s="584"/>
      <c r="CA4" s="584"/>
      <c r="CB4" s="584"/>
      <c r="CC4" s="584"/>
      <c r="CD4" s="584"/>
      <c r="CE4" s="584"/>
      <c r="CF4" s="584"/>
      <c r="CG4" s="584"/>
      <c r="CH4" s="584"/>
      <c r="CI4" s="584"/>
      <c r="CJ4" s="584"/>
      <c r="CK4" s="584"/>
      <c r="CL4" s="584"/>
      <c r="CM4" s="584"/>
      <c r="CN4" s="584"/>
      <c r="CO4" s="584"/>
      <c r="CP4" s="584"/>
      <c r="CQ4" s="584"/>
      <c r="CR4" s="584"/>
      <c r="CS4" s="584"/>
      <c r="CT4" s="584"/>
      <c r="CU4" s="584"/>
      <c r="CV4" s="584"/>
      <c r="CW4" s="584"/>
      <c r="CX4" s="584"/>
      <c r="CY4" s="584"/>
      <c r="CZ4" s="584"/>
      <c r="DA4" s="584"/>
      <c r="DB4" s="584"/>
      <c r="DC4" s="584"/>
      <c r="DD4" s="584"/>
      <c r="DE4" s="584"/>
      <c r="DF4" s="584"/>
      <c r="DG4" s="584"/>
      <c r="DH4" s="584"/>
      <c r="DI4" s="584"/>
      <c r="DJ4" s="584"/>
      <c r="DK4" s="584"/>
      <c r="DL4" s="584"/>
      <c r="DM4" s="584"/>
      <c r="DN4" s="584"/>
      <c r="DO4" s="584"/>
      <c r="DP4" s="584"/>
      <c r="DQ4" s="584"/>
      <c r="DR4" s="584"/>
      <c r="DS4" s="584"/>
      <c r="DT4" s="584"/>
      <c r="DU4" s="584"/>
      <c r="DV4" s="584"/>
      <c r="DW4" s="584"/>
      <c r="DX4" s="584"/>
      <c r="DY4" s="584"/>
      <c r="DZ4" s="584"/>
      <c r="EA4" s="584"/>
      <c r="EB4" s="584"/>
      <c r="EC4" s="584"/>
      <c r="ED4" s="584"/>
      <c r="EE4" s="584"/>
      <c r="EF4" s="584"/>
      <c r="EG4" s="584"/>
      <c r="EH4" s="584"/>
      <c r="EI4" s="584"/>
      <c r="EJ4" s="584"/>
      <c r="EK4" s="584"/>
      <c r="EL4" s="584"/>
      <c r="EM4" s="584"/>
      <c r="EN4" s="584"/>
      <c r="EO4" s="584"/>
      <c r="EP4" s="584"/>
      <c r="EQ4" s="584"/>
      <c r="ER4" s="584"/>
      <c r="ES4" s="584"/>
      <c r="ET4" s="584"/>
      <c r="EU4" s="584"/>
      <c r="EV4" s="584"/>
      <c r="EW4" s="584"/>
      <c r="EX4" s="584"/>
      <c r="EY4" s="584"/>
      <c r="EZ4" s="584"/>
      <c r="FA4" s="584"/>
      <c r="FB4" s="584"/>
      <c r="FC4" s="584"/>
      <c r="FD4" s="584"/>
      <c r="FE4" s="584"/>
      <c r="FF4" s="584"/>
      <c r="FG4" s="584"/>
      <c r="FH4" s="584"/>
      <c r="FI4" s="584"/>
      <c r="FJ4" s="584"/>
      <c r="FK4" s="584"/>
      <c r="FL4" s="584"/>
      <c r="FM4" s="584"/>
      <c r="FN4" s="584"/>
      <c r="FO4" s="584"/>
      <c r="FP4" s="584"/>
      <c r="FQ4" s="584"/>
      <c r="FR4" s="584"/>
      <c r="FS4" s="584"/>
      <c r="FT4" s="584"/>
      <c r="FU4" s="584"/>
      <c r="FV4" s="584"/>
      <c r="FW4" s="584"/>
      <c r="FX4" s="584"/>
      <c r="FY4" s="584"/>
      <c r="FZ4" s="584"/>
      <c r="GA4" s="584"/>
      <c r="GB4" s="584"/>
      <c r="GC4" s="584"/>
      <c r="GD4" s="584"/>
      <c r="GE4" s="584"/>
      <c r="GF4" s="584"/>
      <c r="GG4" s="584"/>
      <c r="GH4" s="584"/>
      <c r="GI4" s="584"/>
      <c r="GJ4" s="584"/>
      <c r="GK4" s="584"/>
      <c r="GL4" s="584"/>
      <c r="GM4" s="584"/>
      <c r="GN4" s="584"/>
      <c r="GO4" s="584"/>
      <c r="GP4" s="584"/>
      <c r="GQ4" s="584"/>
      <c r="GR4" s="584"/>
      <c r="GS4" s="584"/>
      <c r="GT4" s="584"/>
      <c r="GU4" s="584"/>
      <c r="GV4" s="584"/>
      <c r="GW4" s="584"/>
      <c r="GX4" s="584"/>
      <c r="GY4" s="584"/>
      <c r="GZ4" s="584"/>
      <c r="HA4" s="584"/>
      <c r="HB4" s="584"/>
      <c r="HC4" s="584"/>
      <c r="HD4" s="584"/>
      <c r="HE4" s="584"/>
      <c r="HF4" s="584"/>
      <c r="HG4" s="584"/>
      <c r="HH4" s="584"/>
      <c r="HI4" s="584"/>
      <c r="HJ4" s="584"/>
      <c r="HK4" s="584"/>
      <c r="HL4" s="584"/>
      <c r="HM4" s="584"/>
      <c r="HN4" s="584"/>
      <c r="HO4" s="584"/>
      <c r="HP4" s="584"/>
      <c r="HQ4" s="584"/>
      <c r="HR4" s="584"/>
      <c r="HS4" s="584"/>
      <c r="HT4" s="584"/>
      <c r="HU4" s="584"/>
      <c r="HV4" s="584"/>
      <c r="HW4" s="584"/>
      <c r="HX4" s="584"/>
      <c r="HY4" s="584"/>
      <c r="HZ4" s="584"/>
      <c r="IA4" s="584"/>
      <c r="IB4" s="584"/>
      <c r="IC4" s="584"/>
      <c r="ID4" s="584"/>
      <c r="IE4" s="584"/>
      <c r="IF4" s="584"/>
      <c r="IG4" s="584"/>
      <c r="IH4" s="584"/>
      <c r="II4" s="584"/>
      <c r="IJ4" s="584"/>
      <c r="IK4" s="584"/>
      <c r="IL4" s="584"/>
      <c r="IM4" s="584"/>
      <c r="IN4" s="584"/>
      <c r="IO4" s="584"/>
      <c r="IP4" s="584"/>
      <c r="IQ4" s="584"/>
      <c r="IR4" s="584"/>
      <c r="IS4" s="584"/>
      <c r="IT4" s="584"/>
      <c r="IU4" s="584"/>
      <c r="IV4" s="584"/>
      <c r="IW4" s="584"/>
    </row>
    <row r="5" spans="2:257" ht="15.2" customHeight="1">
      <c r="B5" s="581"/>
      <c r="C5" s="581"/>
      <c r="D5" s="581"/>
      <c r="E5" s="581"/>
      <c r="F5" s="581"/>
      <c r="G5" s="581"/>
      <c r="H5" s="592"/>
      <c r="I5" s="592"/>
      <c r="J5" s="592"/>
      <c r="K5" s="592"/>
      <c r="L5" s="592"/>
      <c r="M5" s="592"/>
      <c r="N5" s="581"/>
      <c r="O5" s="581"/>
      <c r="P5" s="590"/>
      <c r="Q5" s="590"/>
      <c r="R5" s="584"/>
      <c r="S5" s="584"/>
      <c r="T5" s="584"/>
      <c r="U5" s="584"/>
      <c r="V5" s="584"/>
      <c r="W5" s="584"/>
      <c r="X5" s="584"/>
      <c r="Y5" s="584"/>
      <c r="Z5" s="584"/>
      <c r="AA5" s="584"/>
      <c r="AB5" s="584"/>
      <c r="AC5" s="584"/>
      <c r="AD5" s="584"/>
      <c r="AE5" s="584"/>
      <c r="AF5" s="584"/>
      <c r="AG5" s="584"/>
      <c r="AH5" s="584"/>
      <c r="AI5" s="584"/>
      <c r="AJ5" s="584"/>
      <c r="AK5" s="584"/>
      <c r="AL5" s="584"/>
      <c r="AM5" s="584"/>
      <c r="AN5" s="584"/>
      <c r="AO5" s="584"/>
      <c r="AP5" s="584"/>
      <c r="AQ5" s="584"/>
      <c r="AR5" s="584"/>
      <c r="AS5" s="584"/>
      <c r="AT5" s="584"/>
      <c r="AU5" s="584"/>
      <c r="AV5" s="584"/>
      <c r="AW5" s="584"/>
      <c r="AX5" s="584"/>
      <c r="AY5" s="584"/>
      <c r="AZ5" s="584"/>
      <c r="BA5" s="584"/>
      <c r="BB5" s="584"/>
      <c r="BC5" s="584"/>
      <c r="BD5" s="584"/>
      <c r="BE5" s="584"/>
      <c r="BF5" s="584"/>
      <c r="BG5" s="584"/>
      <c r="BH5" s="584"/>
      <c r="BI5" s="584"/>
      <c r="BJ5" s="584"/>
      <c r="BK5" s="584"/>
      <c r="BL5" s="584"/>
      <c r="BM5" s="584"/>
      <c r="BN5" s="584"/>
      <c r="BO5" s="584"/>
      <c r="BP5" s="584"/>
      <c r="BQ5" s="584"/>
      <c r="BR5" s="584"/>
      <c r="BS5" s="584"/>
      <c r="BT5" s="584"/>
      <c r="BU5" s="584"/>
      <c r="BV5" s="584"/>
      <c r="BW5" s="584"/>
      <c r="BX5" s="584"/>
      <c r="BY5" s="584"/>
      <c r="BZ5" s="584"/>
      <c r="CA5" s="584"/>
      <c r="CB5" s="584"/>
      <c r="CC5" s="584"/>
      <c r="CD5" s="584"/>
      <c r="CE5" s="584"/>
      <c r="CF5" s="584"/>
      <c r="CG5" s="584"/>
      <c r="CH5" s="584"/>
      <c r="CI5" s="584"/>
      <c r="CJ5" s="584"/>
      <c r="CK5" s="584"/>
      <c r="CL5" s="584"/>
      <c r="CM5" s="584"/>
      <c r="CN5" s="584"/>
      <c r="CO5" s="584"/>
      <c r="CP5" s="584"/>
      <c r="CQ5" s="584"/>
      <c r="CR5" s="584"/>
      <c r="CS5" s="584"/>
      <c r="CT5" s="584"/>
      <c r="CU5" s="584"/>
      <c r="CV5" s="584"/>
      <c r="CW5" s="584"/>
      <c r="CX5" s="584"/>
      <c r="CY5" s="584"/>
      <c r="CZ5" s="584"/>
      <c r="DA5" s="584"/>
      <c r="DB5" s="584"/>
      <c r="DC5" s="584"/>
      <c r="DD5" s="584"/>
      <c r="DE5" s="584"/>
      <c r="DF5" s="584"/>
      <c r="DG5" s="584"/>
      <c r="DH5" s="584"/>
      <c r="DI5" s="584"/>
      <c r="DJ5" s="584"/>
      <c r="DK5" s="584"/>
      <c r="DL5" s="584"/>
      <c r="DM5" s="584"/>
      <c r="DN5" s="584"/>
      <c r="DO5" s="584"/>
      <c r="DP5" s="584"/>
      <c r="DQ5" s="584"/>
      <c r="DR5" s="584"/>
      <c r="DS5" s="584"/>
      <c r="DT5" s="584"/>
      <c r="DU5" s="584"/>
      <c r="DV5" s="584"/>
      <c r="DW5" s="584"/>
      <c r="DX5" s="584"/>
      <c r="DY5" s="584"/>
      <c r="DZ5" s="584"/>
      <c r="EA5" s="584"/>
      <c r="EB5" s="584"/>
      <c r="EC5" s="584"/>
      <c r="ED5" s="584"/>
      <c r="EE5" s="584"/>
      <c r="EF5" s="584"/>
      <c r="EG5" s="584"/>
      <c r="EH5" s="584"/>
      <c r="EI5" s="584"/>
      <c r="EJ5" s="584"/>
      <c r="EK5" s="584"/>
      <c r="EL5" s="584"/>
      <c r="EM5" s="584"/>
      <c r="EN5" s="584"/>
      <c r="EO5" s="584"/>
      <c r="EP5" s="584"/>
      <c r="EQ5" s="584"/>
      <c r="ER5" s="584"/>
      <c r="ES5" s="584"/>
      <c r="ET5" s="584"/>
      <c r="EU5" s="584"/>
      <c r="EV5" s="584"/>
      <c r="EW5" s="584"/>
      <c r="EX5" s="584"/>
      <c r="EY5" s="584"/>
      <c r="EZ5" s="584"/>
      <c r="FA5" s="584"/>
      <c r="FB5" s="584"/>
      <c r="FC5" s="584"/>
      <c r="FD5" s="584"/>
      <c r="FE5" s="584"/>
      <c r="FF5" s="584"/>
      <c r="FG5" s="584"/>
      <c r="FH5" s="584"/>
      <c r="FI5" s="584"/>
      <c r="FJ5" s="584"/>
      <c r="FK5" s="584"/>
      <c r="FL5" s="584"/>
      <c r="FM5" s="584"/>
      <c r="FN5" s="584"/>
      <c r="FO5" s="584"/>
      <c r="FP5" s="584"/>
      <c r="FQ5" s="584"/>
      <c r="FR5" s="584"/>
      <c r="FS5" s="584"/>
      <c r="FT5" s="584"/>
      <c r="FU5" s="584"/>
      <c r="FV5" s="584"/>
      <c r="FW5" s="584"/>
      <c r="FX5" s="584"/>
      <c r="FY5" s="584"/>
      <c r="FZ5" s="584"/>
      <c r="GA5" s="584"/>
      <c r="GB5" s="584"/>
      <c r="GC5" s="584"/>
      <c r="GD5" s="584"/>
      <c r="GE5" s="584"/>
      <c r="GF5" s="584"/>
      <c r="GG5" s="584"/>
      <c r="GH5" s="584"/>
      <c r="GI5" s="584"/>
      <c r="GJ5" s="584"/>
      <c r="GK5" s="584"/>
      <c r="GL5" s="584"/>
      <c r="GM5" s="584"/>
      <c r="GN5" s="584"/>
      <c r="GO5" s="584"/>
      <c r="GP5" s="584"/>
      <c r="GQ5" s="584"/>
      <c r="GR5" s="584"/>
      <c r="GS5" s="584"/>
      <c r="GT5" s="584"/>
      <c r="GU5" s="584"/>
      <c r="GV5" s="584"/>
      <c r="GW5" s="584"/>
      <c r="GX5" s="584"/>
      <c r="GY5" s="584"/>
      <c r="GZ5" s="584"/>
      <c r="HA5" s="584"/>
      <c r="HB5" s="584"/>
      <c r="HC5" s="584"/>
      <c r="HD5" s="584"/>
      <c r="HE5" s="584"/>
      <c r="HF5" s="584"/>
      <c r="HG5" s="584"/>
      <c r="HH5" s="584"/>
      <c r="HI5" s="584"/>
      <c r="HJ5" s="584"/>
      <c r="HK5" s="584"/>
      <c r="HL5" s="584"/>
      <c r="HM5" s="584"/>
      <c r="HN5" s="584"/>
      <c r="HO5" s="584"/>
      <c r="HP5" s="584"/>
      <c r="HQ5" s="584"/>
      <c r="HR5" s="584"/>
      <c r="HS5" s="584"/>
      <c r="HT5" s="584"/>
      <c r="HU5" s="584"/>
      <c r="HV5" s="584"/>
      <c r="HW5" s="584"/>
      <c r="HX5" s="584"/>
      <c r="HY5" s="584"/>
      <c r="HZ5" s="584"/>
      <c r="IA5" s="584"/>
      <c r="IB5" s="584"/>
      <c r="IC5" s="584"/>
      <c r="ID5" s="584"/>
      <c r="IE5" s="584"/>
      <c r="IF5" s="584"/>
      <c r="IG5" s="584"/>
      <c r="IH5" s="584"/>
      <c r="II5" s="584"/>
      <c r="IJ5" s="584"/>
      <c r="IK5" s="584"/>
      <c r="IL5" s="584"/>
      <c r="IM5" s="584"/>
      <c r="IN5" s="584"/>
      <c r="IO5" s="584"/>
      <c r="IP5" s="584"/>
      <c r="IQ5" s="584"/>
      <c r="IR5" s="584"/>
      <c r="IS5" s="584"/>
      <c r="IT5" s="584"/>
      <c r="IU5" s="584"/>
      <c r="IV5" s="584"/>
      <c r="IW5" s="584"/>
    </row>
    <row r="6" spans="2:257" ht="22.5" customHeight="1">
      <c r="B6" s="589" t="s">
        <v>967</v>
      </c>
      <c r="C6" s="581"/>
      <c r="D6" s="581"/>
      <c r="E6" s="581"/>
      <c r="F6" s="581"/>
      <c r="G6" s="581"/>
      <c r="H6" s="631">
        <v>2</v>
      </c>
      <c r="I6" s="631">
        <v>0</v>
      </c>
      <c r="J6" s="631">
        <v>4</v>
      </c>
      <c r="K6" s="631">
        <v>9</v>
      </c>
      <c r="L6" s="631">
        <v>9</v>
      </c>
      <c r="M6" s="631">
        <v>2</v>
      </c>
      <c r="N6" s="631">
        <v>9</v>
      </c>
      <c r="O6" s="592"/>
      <c r="P6" s="595"/>
      <c r="Q6" s="590"/>
      <c r="R6" s="584"/>
      <c r="S6" s="584"/>
      <c r="T6" s="584"/>
      <c r="U6" s="584"/>
      <c r="V6" s="584"/>
      <c r="W6" s="584"/>
      <c r="X6" s="584"/>
      <c r="Y6" s="584"/>
      <c r="Z6" s="584"/>
      <c r="AA6" s="584"/>
      <c r="AB6" s="584"/>
      <c r="AC6" s="584"/>
      <c r="AD6" s="584"/>
      <c r="AE6" s="584"/>
      <c r="AF6" s="584"/>
      <c r="AG6" s="584"/>
      <c r="AH6" s="584"/>
      <c r="AI6" s="584"/>
      <c r="AJ6" s="584"/>
      <c r="AK6" s="584"/>
      <c r="AL6" s="584"/>
      <c r="AM6" s="584"/>
      <c r="AN6" s="584"/>
      <c r="AO6" s="584"/>
      <c r="AP6" s="584"/>
      <c r="AQ6" s="584"/>
      <c r="AR6" s="584"/>
      <c r="AS6" s="584"/>
      <c r="AT6" s="584"/>
      <c r="AU6" s="584"/>
      <c r="AV6" s="584"/>
      <c r="AW6" s="584"/>
      <c r="AX6" s="584"/>
      <c r="AY6" s="584"/>
      <c r="AZ6" s="584"/>
      <c r="BA6" s="584"/>
      <c r="BB6" s="584"/>
      <c r="BC6" s="584"/>
      <c r="BD6" s="584"/>
      <c r="BE6" s="584"/>
      <c r="BF6" s="584"/>
      <c r="BG6" s="584"/>
      <c r="BH6" s="584"/>
      <c r="BI6" s="584"/>
      <c r="BJ6" s="584"/>
      <c r="BK6" s="584"/>
      <c r="BL6" s="584"/>
      <c r="BM6" s="584"/>
      <c r="BN6" s="584"/>
      <c r="BO6" s="584"/>
      <c r="BP6" s="584"/>
      <c r="BQ6" s="584"/>
      <c r="BR6" s="584"/>
      <c r="BS6" s="584"/>
      <c r="BT6" s="584"/>
      <c r="BU6" s="584"/>
      <c r="BV6" s="584"/>
      <c r="BW6" s="584"/>
      <c r="BX6" s="584"/>
      <c r="BY6" s="584"/>
      <c r="BZ6" s="584"/>
      <c r="CA6" s="584"/>
      <c r="CB6" s="584"/>
      <c r="CC6" s="584"/>
      <c r="CD6" s="584"/>
      <c r="CE6" s="584"/>
      <c r="CF6" s="584"/>
      <c r="CG6" s="584"/>
      <c r="CH6" s="584"/>
      <c r="CI6" s="584"/>
      <c r="CJ6" s="584"/>
      <c r="CK6" s="584"/>
      <c r="CL6" s="584"/>
      <c r="CM6" s="584"/>
      <c r="CN6" s="584"/>
      <c r="CO6" s="584"/>
      <c r="CP6" s="584"/>
      <c r="CQ6" s="584"/>
      <c r="CR6" s="584"/>
      <c r="CS6" s="584"/>
      <c r="CT6" s="584"/>
      <c r="CU6" s="584"/>
      <c r="CV6" s="584"/>
      <c r="CW6" s="584"/>
      <c r="CX6" s="584"/>
      <c r="CY6" s="584"/>
      <c r="CZ6" s="584"/>
      <c r="DA6" s="584"/>
      <c r="DB6" s="584"/>
      <c r="DC6" s="584"/>
      <c r="DD6" s="584"/>
      <c r="DE6" s="584"/>
      <c r="DF6" s="584"/>
      <c r="DG6" s="584"/>
      <c r="DH6" s="584"/>
      <c r="DI6" s="584"/>
      <c r="DJ6" s="584"/>
      <c r="DK6" s="584"/>
      <c r="DL6" s="584"/>
      <c r="DM6" s="584"/>
      <c r="DN6" s="584"/>
      <c r="DO6" s="584"/>
      <c r="DP6" s="584"/>
      <c r="DQ6" s="584"/>
      <c r="DR6" s="584"/>
      <c r="DS6" s="584"/>
      <c r="DT6" s="584"/>
      <c r="DU6" s="584"/>
      <c r="DV6" s="584"/>
      <c r="DW6" s="584"/>
      <c r="DX6" s="584"/>
      <c r="DY6" s="584"/>
      <c r="DZ6" s="584"/>
      <c r="EA6" s="584"/>
      <c r="EB6" s="584"/>
      <c r="EC6" s="584"/>
      <c r="ED6" s="584"/>
      <c r="EE6" s="584"/>
      <c r="EF6" s="584"/>
      <c r="EG6" s="584"/>
      <c r="EH6" s="584"/>
      <c r="EI6" s="584"/>
      <c r="EJ6" s="584"/>
      <c r="EK6" s="584"/>
      <c r="EL6" s="584"/>
      <c r="EM6" s="584"/>
      <c r="EN6" s="584"/>
      <c r="EO6" s="584"/>
      <c r="EP6" s="584"/>
      <c r="EQ6" s="584"/>
      <c r="ER6" s="584"/>
      <c r="ES6" s="584"/>
      <c r="ET6" s="584"/>
      <c r="EU6" s="584"/>
      <c r="EV6" s="584"/>
      <c r="EW6" s="584"/>
      <c r="EX6" s="584"/>
      <c r="EY6" s="584"/>
      <c r="EZ6" s="584"/>
      <c r="FA6" s="584"/>
      <c r="FB6" s="584"/>
      <c r="FC6" s="584"/>
      <c r="FD6" s="584"/>
      <c r="FE6" s="584"/>
      <c r="FF6" s="584"/>
      <c r="FG6" s="584"/>
      <c r="FH6" s="584"/>
      <c r="FI6" s="584"/>
      <c r="FJ6" s="584"/>
      <c r="FK6" s="584"/>
      <c r="FL6" s="584"/>
      <c r="FM6" s="584"/>
      <c r="FN6" s="584"/>
      <c r="FO6" s="584"/>
      <c r="FP6" s="584"/>
      <c r="FQ6" s="584"/>
      <c r="FR6" s="584"/>
      <c r="FS6" s="584"/>
      <c r="FT6" s="584"/>
      <c r="FU6" s="584"/>
      <c r="FV6" s="584"/>
      <c r="FW6" s="584"/>
      <c r="FX6" s="584"/>
      <c r="FY6" s="584"/>
      <c r="FZ6" s="584"/>
      <c r="GA6" s="584"/>
      <c r="GB6" s="584"/>
      <c r="GC6" s="584"/>
      <c r="GD6" s="584"/>
      <c r="GE6" s="584"/>
      <c r="GF6" s="584"/>
      <c r="GG6" s="584"/>
      <c r="GH6" s="584"/>
      <c r="GI6" s="584"/>
      <c r="GJ6" s="584"/>
      <c r="GK6" s="584"/>
      <c r="GL6" s="584"/>
      <c r="GM6" s="584"/>
      <c r="GN6" s="584"/>
      <c r="GO6" s="584"/>
      <c r="GP6" s="584"/>
      <c r="GQ6" s="584"/>
      <c r="GR6" s="584"/>
      <c r="GS6" s="584"/>
      <c r="GT6" s="584"/>
      <c r="GU6" s="584"/>
      <c r="GV6" s="584"/>
      <c r="GW6" s="584"/>
      <c r="GX6" s="584"/>
      <c r="GY6" s="584"/>
      <c r="GZ6" s="584"/>
      <c r="HA6" s="584"/>
      <c r="HB6" s="584"/>
      <c r="HC6" s="584"/>
      <c r="HD6" s="584"/>
      <c r="HE6" s="584"/>
      <c r="HF6" s="584"/>
      <c r="HG6" s="584"/>
      <c r="HH6" s="584"/>
      <c r="HI6" s="584"/>
      <c r="HJ6" s="584"/>
      <c r="HK6" s="584"/>
      <c r="HL6" s="584"/>
      <c r="HM6" s="584"/>
      <c r="HN6" s="584"/>
      <c r="HO6" s="584"/>
      <c r="HP6" s="584"/>
      <c r="HQ6" s="584"/>
      <c r="HR6" s="584"/>
      <c r="HS6" s="584"/>
      <c r="HT6" s="584"/>
      <c r="HU6" s="584"/>
      <c r="HV6" s="584"/>
      <c r="HW6" s="584"/>
      <c r="HX6" s="584"/>
      <c r="HY6" s="584"/>
      <c r="HZ6" s="584"/>
      <c r="IA6" s="584"/>
      <c r="IB6" s="584"/>
      <c r="IC6" s="584"/>
      <c r="ID6" s="584"/>
      <c r="IE6" s="584"/>
      <c r="IF6" s="584"/>
      <c r="IG6" s="584"/>
      <c r="IH6" s="584"/>
      <c r="II6" s="584"/>
      <c r="IJ6" s="584"/>
      <c r="IK6" s="584"/>
      <c r="IL6" s="584"/>
      <c r="IM6" s="584"/>
      <c r="IN6" s="584"/>
      <c r="IO6" s="584"/>
      <c r="IP6" s="584"/>
      <c r="IQ6" s="584"/>
      <c r="IR6" s="584"/>
      <c r="IS6" s="584"/>
      <c r="IT6" s="584"/>
      <c r="IU6" s="584"/>
      <c r="IV6" s="584"/>
      <c r="IW6" s="584"/>
    </row>
    <row r="7" spans="2:257" ht="14.45" customHeight="1">
      <c r="B7" s="589"/>
      <c r="C7" s="581"/>
      <c r="D7" s="581"/>
      <c r="E7" s="581"/>
      <c r="F7" s="581"/>
      <c r="G7" s="581"/>
      <c r="H7" s="591"/>
      <c r="I7" s="591"/>
      <c r="J7" s="591"/>
      <c r="K7" s="591"/>
      <c r="L7" s="591"/>
      <c r="M7" s="591"/>
      <c r="N7" s="591"/>
      <c r="O7" s="592"/>
      <c r="P7" s="595"/>
      <c r="Q7" s="590"/>
      <c r="R7" s="584"/>
      <c r="S7" s="584"/>
      <c r="T7" s="584"/>
      <c r="U7" s="584"/>
      <c r="V7" s="584"/>
      <c r="W7" s="584"/>
      <c r="X7" s="584"/>
      <c r="Y7" s="584"/>
      <c r="Z7" s="584"/>
      <c r="AA7" s="584"/>
      <c r="AB7" s="584"/>
      <c r="AC7" s="584"/>
      <c r="AD7" s="584"/>
      <c r="AE7" s="584"/>
      <c r="AF7" s="584"/>
      <c r="AG7" s="584"/>
      <c r="AH7" s="584"/>
      <c r="AI7" s="584"/>
      <c r="AJ7" s="584"/>
      <c r="AK7" s="584"/>
      <c r="AL7" s="584"/>
      <c r="AM7" s="584"/>
      <c r="AN7" s="584"/>
      <c r="AO7" s="584"/>
      <c r="AP7" s="584"/>
      <c r="AQ7" s="584"/>
      <c r="AR7" s="584"/>
      <c r="AS7" s="584"/>
      <c r="AT7" s="584"/>
      <c r="AU7" s="584"/>
      <c r="AV7" s="584"/>
      <c r="AW7" s="584"/>
      <c r="AX7" s="584"/>
      <c r="AY7" s="584"/>
      <c r="AZ7" s="584"/>
      <c r="BA7" s="584"/>
      <c r="BB7" s="584"/>
      <c r="BC7" s="584"/>
      <c r="BD7" s="584"/>
      <c r="BE7" s="584"/>
      <c r="BF7" s="584"/>
      <c r="BG7" s="584"/>
      <c r="BH7" s="584"/>
      <c r="BI7" s="584"/>
      <c r="BJ7" s="584"/>
      <c r="BK7" s="584"/>
      <c r="BL7" s="584"/>
      <c r="BM7" s="584"/>
      <c r="BN7" s="584"/>
      <c r="BO7" s="584"/>
      <c r="BP7" s="584"/>
      <c r="BQ7" s="584"/>
      <c r="BR7" s="584"/>
      <c r="BS7" s="584"/>
      <c r="BT7" s="584"/>
      <c r="BU7" s="584"/>
      <c r="BV7" s="584"/>
      <c r="BW7" s="584"/>
      <c r="BX7" s="584"/>
      <c r="BY7" s="584"/>
      <c r="BZ7" s="584"/>
      <c r="CA7" s="584"/>
      <c r="CB7" s="584"/>
      <c r="CC7" s="584"/>
      <c r="CD7" s="584"/>
      <c r="CE7" s="584"/>
      <c r="CF7" s="584"/>
      <c r="CG7" s="584"/>
      <c r="CH7" s="584"/>
      <c r="CI7" s="584"/>
      <c r="CJ7" s="584"/>
      <c r="CK7" s="584"/>
      <c r="CL7" s="584"/>
      <c r="CM7" s="584"/>
      <c r="CN7" s="584"/>
      <c r="CO7" s="584"/>
      <c r="CP7" s="584"/>
      <c r="CQ7" s="584"/>
      <c r="CR7" s="584"/>
      <c r="CS7" s="584"/>
      <c r="CT7" s="584"/>
      <c r="CU7" s="584"/>
      <c r="CV7" s="584"/>
      <c r="CW7" s="584"/>
      <c r="CX7" s="584"/>
      <c r="CY7" s="584"/>
      <c r="CZ7" s="584"/>
      <c r="DA7" s="584"/>
      <c r="DB7" s="584"/>
      <c r="DC7" s="584"/>
      <c r="DD7" s="584"/>
      <c r="DE7" s="584"/>
      <c r="DF7" s="584"/>
      <c r="DG7" s="584"/>
      <c r="DH7" s="584"/>
      <c r="DI7" s="584"/>
      <c r="DJ7" s="584"/>
      <c r="DK7" s="584"/>
      <c r="DL7" s="584"/>
      <c r="DM7" s="584"/>
      <c r="DN7" s="584"/>
      <c r="DO7" s="584"/>
      <c r="DP7" s="584"/>
      <c r="DQ7" s="584"/>
      <c r="DR7" s="584"/>
      <c r="DS7" s="584"/>
      <c r="DT7" s="584"/>
      <c r="DU7" s="584"/>
      <c r="DV7" s="584"/>
      <c r="DW7" s="584"/>
      <c r="DX7" s="584"/>
      <c r="DY7" s="584"/>
      <c r="DZ7" s="584"/>
      <c r="EA7" s="584"/>
      <c r="EB7" s="584"/>
      <c r="EC7" s="584"/>
      <c r="ED7" s="584"/>
      <c r="EE7" s="584"/>
      <c r="EF7" s="584"/>
      <c r="EG7" s="584"/>
      <c r="EH7" s="584"/>
      <c r="EI7" s="584"/>
      <c r="EJ7" s="584"/>
      <c r="EK7" s="584"/>
      <c r="EL7" s="584"/>
      <c r="EM7" s="584"/>
      <c r="EN7" s="584"/>
      <c r="EO7" s="584"/>
      <c r="EP7" s="584"/>
      <c r="EQ7" s="584"/>
      <c r="ER7" s="584"/>
      <c r="ES7" s="584"/>
      <c r="ET7" s="584"/>
      <c r="EU7" s="584"/>
      <c r="EV7" s="584"/>
      <c r="EW7" s="584"/>
      <c r="EX7" s="584"/>
      <c r="EY7" s="584"/>
      <c r="EZ7" s="584"/>
      <c r="FA7" s="584"/>
      <c r="FB7" s="584"/>
      <c r="FC7" s="584"/>
      <c r="FD7" s="584"/>
      <c r="FE7" s="584"/>
      <c r="FF7" s="584"/>
      <c r="FG7" s="584"/>
      <c r="FH7" s="584"/>
      <c r="FI7" s="584"/>
      <c r="FJ7" s="584"/>
      <c r="FK7" s="584"/>
      <c r="FL7" s="584"/>
      <c r="FM7" s="584"/>
      <c r="FN7" s="584"/>
      <c r="FO7" s="584"/>
      <c r="FP7" s="584"/>
      <c r="FQ7" s="584"/>
      <c r="FR7" s="584"/>
      <c r="FS7" s="584"/>
      <c r="FT7" s="584"/>
      <c r="FU7" s="584"/>
      <c r="FV7" s="584"/>
      <c r="FW7" s="584"/>
      <c r="FX7" s="584"/>
      <c r="FY7" s="584"/>
      <c r="FZ7" s="584"/>
      <c r="GA7" s="584"/>
      <c r="GB7" s="584"/>
      <c r="GC7" s="584"/>
      <c r="GD7" s="584"/>
      <c r="GE7" s="584"/>
      <c r="GF7" s="584"/>
      <c r="GG7" s="584"/>
      <c r="GH7" s="584"/>
      <c r="GI7" s="584"/>
      <c r="GJ7" s="584"/>
      <c r="GK7" s="584"/>
      <c r="GL7" s="584"/>
      <c r="GM7" s="584"/>
      <c r="GN7" s="584"/>
      <c r="GO7" s="584"/>
      <c r="GP7" s="584"/>
      <c r="GQ7" s="584"/>
      <c r="GR7" s="584"/>
      <c r="GS7" s="584"/>
      <c r="GT7" s="584"/>
      <c r="GU7" s="584"/>
      <c r="GV7" s="584"/>
      <c r="GW7" s="584"/>
      <c r="GX7" s="584"/>
      <c r="GY7" s="584"/>
      <c r="GZ7" s="584"/>
      <c r="HA7" s="584"/>
      <c r="HB7" s="584"/>
      <c r="HC7" s="584"/>
      <c r="HD7" s="584"/>
      <c r="HE7" s="584"/>
      <c r="HF7" s="584"/>
      <c r="HG7" s="584"/>
      <c r="HH7" s="584"/>
      <c r="HI7" s="584"/>
      <c r="HJ7" s="584"/>
      <c r="HK7" s="584"/>
      <c r="HL7" s="584"/>
      <c r="HM7" s="584"/>
      <c r="HN7" s="584"/>
      <c r="HO7" s="584"/>
      <c r="HP7" s="584"/>
      <c r="HQ7" s="584"/>
      <c r="HR7" s="584"/>
      <c r="HS7" s="584"/>
      <c r="HT7" s="584"/>
      <c r="HU7" s="584"/>
      <c r="HV7" s="584"/>
      <c r="HW7" s="584"/>
      <c r="HX7" s="584"/>
      <c r="HY7" s="584"/>
      <c r="HZ7" s="584"/>
      <c r="IA7" s="584"/>
      <c r="IB7" s="584"/>
      <c r="IC7" s="584"/>
      <c r="ID7" s="584"/>
      <c r="IE7" s="584"/>
      <c r="IF7" s="584"/>
      <c r="IG7" s="584"/>
      <c r="IH7" s="584"/>
      <c r="II7" s="584"/>
      <c r="IJ7" s="584"/>
      <c r="IK7" s="584"/>
      <c r="IL7" s="584"/>
      <c r="IM7" s="584"/>
      <c r="IN7" s="584"/>
      <c r="IO7" s="584"/>
      <c r="IP7" s="584"/>
      <c r="IQ7" s="584"/>
      <c r="IR7" s="584"/>
      <c r="IS7" s="584"/>
      <c r="IT7" s="584"/>
      <c r="IU7" s="584"/>
      <c r="IV7" s="584"/>
      <c r="IW7" s="584"/>
    </row>
    <row r="8" spans="2:257" ht="14.45" customHeight="1">
      <c r="B8" s="587" t="s">
        <v>968</v>
      </c>
      <c r="C8" s="588"/>
      <c r="D8" s="588"/>
      <c r="E8" s="581"/>
      <c r="F8" s="581"/>
      <c r="G8" s="581"/>
      <c r="H8" s="581"/>
      <c r="I8" s="581"/>
      <c r="J8" s="581"/>
      <c r="K8" s="581"/>
      <c r="L8" s="581"/>
      <c r="M8" s="581"/>
      <c r="N8" s="581"/>
      <c r="O8" s="581"/>
      <c r="P8" s="581"/>
      <c r="Q8" s="581"/>
      <c r="R8" s="584"/>
      <c r="S8" s="584"/>
      <c r="T8" s="584"/>
      <c r="U8" s="584"/>
      <c r="V8" s="584"/>
      <c r="W8" s="584"/>
      <c r="X8" s="584"/>
      <c r="Y8" s="584"/>
      <c r="Z8" s="584"/>
      <c r="AA8" s="584"/>
      <c r="AB8" s="584"/>
      <c r="AC8" s="584"/>
      <c r="AD8" s="584"/>
      <c r="AE8" s="584"/>
      <c r="AF8" s="584"/>
      <c r="AG8" s="584"/>
      <c r="AH8" s="584"/>
      <c r="AI8" s="584"/>
      <c r="AJ8" s="584"/>
      <c r="AK8" s="584"/>
      <c r="AL8" s="584"/>
      <c r="AM8" s="584"/>
      <c r="AN8" s="584"/>
      <c r="AO8" s="584"/>
      <c r="AP8" s="584"/>
      <c r="AQ8" s="584"/>
      <c r="AR8" s="584"/>
      <c r="AS8" s="584"/>
      <c r="AT8" s="584"/>
      <c r="AU8" s="584"/>
      <c r="AV8" s="584"/>
      <c r="AW8" s="584"/>
      <c r="AX8" s="584"/>
      <c r="AY8" s="584"/>
      <c r="AZ8" s="584"/>
      <c r="BA8" s="584"/>
      <c r="BB8" s="584"/>
      <c r="BC8" s="584"/>
      <c r="BD8" s="584"/>
      <c r="BE8" s="584"/>
      <c r="BF8" s="584"/>
      <c r="BG8" s="584"/>
      <c r="BH8" s="584"/>
      <c r="BI8" s="584"/>
      <c r="BJ8" s="584"/>
      <c r="BK8" s="584"/>
      <c r="BL8" s="584"/>
      <c r="BM8" s="584"/>
      <c r="BN8" s="584"/>
      <c r="BO8" s="584"/>
      <c r="BP8" s="584"/>
      <c r="BQ8" s="584"/>
      <c r="BR8" s="584"/>
      <c r="BS8" s="584"/>
      <c r="BT8" s="584"/>
      <c r="BU8" s="584"/>
      <c r="BV8" s="584"/>
      <c r="BW8" s="584"/>
      <c r="BX8" s="584"/>
      <c r="BY8" s="584"/>
      <c r="BZ8" s="584"/>
      <c r="CA8" s="584"/>
      <c r="CB8" s="584"/>
      <c r="CC8" s="584"/>
      <c r="CD8" s="584"/>
      <c r="CE8" s="584"/>
      <c r="CF8" s="584"/>
      <c r="CG8" s="584"/>
      <c r="CH8" s="584"/>
      <c r="CI8" s="584"/>
      <c r="CJ8" s="584"/>
      <c r="CK8" s="584"/>
      <c r="CL8" s="584"/>
      <c r="CM8" s="584"/>
      <c r="CN8" s="584"/>
      <c r="CO8" s="584"/>
      <c r="CP8" s="584"/>
      <c r="CQ8" s="584"/>
      <c r="CR8" s="584"/>
      <c r="CS8" s="584"/>
      <c r="CT8" s="584"/>
      <c r="CU8" s="584"/>
      <c r="CV8" s="584"/>
      <c r="CW8" s="584"/>
      <c r="CX8" s="584"/>
      <c r="CY8" s="584"/>
      <c r="CZ8" s="584"/>
      <c r="DA8" s="584"/>
      <c r="DB8" s="584"/>
      <c r="DC8" s="584"/>
      <c r="DD8" s="584"/>
      <c r="DE8" s="584"/>
      <c r="DF8" s="584"/>
      <c r="DG8" s="584"/>
      <c r="DH8" s="584"/>
      <c r="DI8" s="584"/>
      <c r="DJ8" s="584"/>
      <c r="DK8" s="584"/>
      <c r="DL8" s="584"/>
      <c r="DM8" s="584"/>
      <c r="DN8" s="584"/>
      <c r="DO8" s="584"/>
      <c r="DP8" s="584"/>
      <c r="DQ8" s="584"/>
      <c r="DR8" s="584"/>
      <c r="DS8" s="584"/>
      <c r="DT8" s="584"/>
      <c r="DU8" s="584"/>
      <c r="DV8" s="584"/>
      <c r="DW8" s="584"/>
      <c r="DX8" s="584"/>
      <c r="DY8" s="584"/>
      <c r="DZ8" s="584"/>
      <c r="EA8" s="584"/>
      <c r="EB8" s="584"/>
      <c r="EC8" s="584"/>
      <c r="ED8" s="584"/>
      <c r="EE8" s="584"/>
      <c r="EF8" s="584"/>
      <c r="EG8" s="584"/>
      <c r="EH8" s="584"/>
      <c r="EI8" s="584"/>
      <c r="EJ8" s="584"/>
      <c r="EK8" s="584"/>
      <c r="EL8" s="584"/>
      <c r="EM8" s="584"/>
      <c r="EN8" s="584"/>
      <c r="EO8" s="584"/>
      <c r="EP8" s="584"/>
      <c r="EQ8" s="584"/>
      <c r="ER8" s="584"/>
      <c r="ES8" s="584"/>
      <c r="ET8" s="584"/>
      <c r="EU8" s="584"/>
      <c r="EV8" s="584"/>
      <c r="EW8" s="584"/>
      <c r="EX8" s="584"/>
      <c r="EY8" s="584"/>
      <c r="EZ8" s="584"/>
      <c r="FA8" s="584"/>
      <c r="FB8" s="584"/>
      <c r="FC8" s="584"/>
      <c r="FD8" s="584"/>
      <c r="FE8" s="584"/>
      <c r="FF8" s="584"/>
      <c r="FG8" s="584"/>
      <c r="FH8" s="584"/>
      <c r="FI8" s="584"/>
      <c r="FJ8" s="584"/>
      <c r="FK8" s="584"/>
      <c r="FL8" s="584"/>
      <c r="FM8" s="584"/>
      <c r="FN8" s="584"/>
      <c r="FO8" s="584"/>
      <c r="FP8" s="584"/>
      <c r="FQ8" s="584"/>
      <c r="FR8" s="584"/>
      <c r="FS8" s="584"/>
      <c r="FT8" s="584"/>
      <c r="FU8" s="584"/>
      <c r="FV8" s="584"/>
      <c r="FW8" s="584"/>
      <c r="FX8" s="584"/>
      <c r="FY8" s="584"/>
      <c r="FZ8" s="584"/>
      <c r="GA8" s="584"/>
      <c r="GB8" s="584"/>
      <c r="GC8" s="584"/>
      <c r="GD8" s="584"/>
      <c r="GE8" s="584"/>
      <c r="GF8" s="584"/>
      <c r="GG8" s="584"/>
      <c r="GH8" s="584"/>
      <c r="GI8" s="584"/>
      <c r="GJ8" s="584"/>
      <c r="GK8" s="584"/>
      <c r="GL8" s="584"/>
      <c r="GM8" s="584"/>
      <c r="GN8" s="584"/>
      <c r="GO8" s="584"/>
      <c r="GP8" s="584"/>
      <c r="GQ8" s="584"/>
      <c r="GR8" s="584"/>
      <c r="GS8" s="584"/>
      <c r="GT8" s="584"/>
      <c r="GU8" s="584"/>
      <c r="GV8" s="584"/>
      <c r="GW8" s="584"/>
      <c r="GX8" s="584"/>
      <c r="GY8" s="584"/>
      <c r="GZ8" s="584"/>
      <c r="HA8" s="584"/>
      <c r="HB8" s="584"/>
      <c r="HC8" s="584"/>
      <c r="HD8" s="584"/>
      <c r="HE8" s="584"/>
      <c r="HF8" s="584"/>
      <c r="HG8" s="584"/>
      <c r="HH8" s="584"/>
      <c r="HI8" s="584"/>
      <c r="HJ8" s="584"/>
      <c r="HK8" s="584"/>
      <c r="HL8" s="584"/>
      <c r="HM8" s="584"/>
      <c r="HN8" s="584"/>
      <c r="HO8" s="584"/>
      <c r="HP8" s="584"/>
      <c r="HQ8" s="584"/>
      <c r="HR8" s="584"/>
      <c r="HS8" s="584"/>
      <c r="HT8" s="584"/>
      <c r="HU8" s="584"/>
      <c r="HV8" s="584"/>
      <c r="HW8" s="584"/>
      <c r="HX8" s="584"/>
      <c r="HY8" s="584"/>
      <c r="HZ8" s="584"/>
      <c r="IA8" s="584"/>
      <c r="IB8" s="584"/>
      <c r="IC8" s="584"/>
      <c r="ID8" s="584"/>
      <c r="IE8" s="584"/>
      <c r="IF8" s="584"/>
      <c r="IG8" s="584"/>
      <c r="IH8" s="584"/>
      <c r="II8" s="584"/>
      <c r="IJ8" s="584"/>
      <c r="IK8" s="584"/>
      <c r="IL8" s="584"/>
      <c r="IM8" s="584"/>
      <c r="IN8" s="584"/>
      <c r="IO8" s="584"/>
      <c r="IP8" s="584"/>
      <c r="IQ8" s="584"/>
      <c r="IR8" s="584"/>
      <c r="IS8" s="584"/>
      <c r="IT8" s="584"/>
      <c r="IU8" s="584"/>
      <c r="IV8" s="584"/>
      <c r="IW8" s="584"/>
    </row>
    <row r="9" spans="2:257" ht="15.2" customHeight="1">
      <c r="B9" s="587"/>
      <c r="C9" s="588"/>
      <c r="D9" s="588"/>
      <c r="E9" s="581"/>
      <c r="F9" s="581"/>
      <c r="G9" s="581"/>
      <c r="H9" s="581"/>
      <c r="I9" s="581"/>
      <c r="J9" s="581"/>
      <c r="K9" s="581"/>
      <c r="L9" s="581"/>
      <c r="M9" s="581"/>
      <c r="N9" s="581"/>
      <c r="O9" s="581"/>
      <c r="P9" s="581"/>
      <c r="Q9" s="581"/>
      <c r="R9" s="584"/>
      <c r="S9" s="584"/>
      <c r="T9" s="584"/>
      <c r="U9" s="584"/>
      <c r="V9" s="584"/>
      <c r="W9" s="584"/>
      <c r="X9" s="584"/>
      <c r="Y9" s="584"/>
      <c r="Z9" s="584"/>
      <c r="AA9" s="584"/>
      <c r="AB9" s="584"/>
      <c r="AC9" s="584"/>
      <c r="AD9" s="584"/>
      <c r="AE9" s="584"/>
      <c r="AF9" s="584"/>
      <c r="AG9" s="584"/>
      <c r="AH9" s="584"/>
      <c r="AI9" s="584"/>
      <c r="AJ9" s="584"/>
      <c r="AK9" s="584"/>
      <c r="AL9" s="584"/>
      <c r="AM9" s="584"/>
      <c r="AN9" s="584"/>
      <c r="AO9" s="584"/>
      <c r="AP9" s="584"/>
      <c r="AQ9" s="584"/>
      <c r="AR9" s="584"/>
      <c r="AS9" s="584"/>
      <c r="AT9" s="584"/>
      <c r="AU9" s="584"/>
      <c r="AV9" s="584"/>
      <c r="AW9" s="584"/>
      <c r="AX9" s="584"/>
      <c r="AY9" s="584"/>
      <c r="AZ9" s="584"/>
      <c r="BA9" s="584"/>
      <c r="BB9" s="584"/>
      <c r="BC9" s="584"/>
      <c r="BD9" s="584"/>
      <c r="BE9" s="584"/>
      <c r="BF9" s="584"/>
      <c r="BG9" s="584"/>
      <c r="BH9" s="584"/>
      <c r="BI9" s="584"/>
      <c r="BJ9" s="584"/>
      <c r="BK9" s="584"/>
      <c r="BL9" s="584"/>
      <c r="BM9" s="584"/>
      <c r="BN9" s="584"/>
      <c r="BO9" s="584"/>
      <c r="BP9" s="584"/>
      <c r="BQ9" s="584"/>
      <c r="BR9" s="584"/>
      <c r="BS9" s="584"/>
      <c r="BT9" s="584"/>
      <c r="BU9" s="584"/>
      <c r="BV9" s="584"/>
      <c r="BW9" s="584"/>
      <c r="BX9" s="584"/>
      <c r="BY9" s="584"/>
      <c r="BZ9" s="584"/>
      <c r="CA9" s="584"/>
      <c r="CB9" s="584"/>
      <c r="CC9" s="584"/>
      <c r="CD9" s="584"/>
      <c r="CE9" s="584"/>
      <c r="CF9" s="584"/>
      <c r="CG9" s="584"/>
      <c r="CH9" s="584"/>
      <c r="CI9" s="584"/>
      <c r="CJ9" s="584"/>
      <c r="CK9" s="584"/>
      <c r="CL9" s="584"/>
      <c r="CM9" s="584"/>
      <c r="CN9" s="584"/>
      <c r="CO9" s="584"/>
      <c r="CP9" s="584"/>
      <c r="CQ9" s="584"/>
      <c r="CR9" s="584"/>
      <c r="CS9" s="584"/>
      <c r="CT9" s="584"/>
      <c r="CU9" s="584"/>
      <c r="CV9" s="584"/>
      <c r="CW9" s="584"/>
      <c r="CX9" s="584"/>
      <c r="CY9" s="584"/>
      <c r="CZ9" s="584"/>
      <c r="DA9" s="584"/>
      <c r="DB9" s="584"/>
      <c r="DC9" s="584"/>
      <c r="DD9" s="584"/>
      <c r="DE9" s="584"/>
      <c r="DF9" s="584"/>
      <c r="DG9" s="584"/>
      <c r="DH9" s="584"/>
      <c r="DI9" s="584"/>
      <c r="DJ9" s="584"/>
      <c r="DK9" s="584"/>
      <c r="DL9" s="584"/>
      <c r="DM9" s="584"/>
      <c r="DN9" s="584"/>
      <c r="DO9" s="584"/>
      <c r="DP9" s="584"/>
      <c r="DQ9" s="584"/>
      <c r="DR9" s="584"/>
      <c r="DS9" s="584"/>
      <c r="DT9" s="584"/>
      <c r="DU9" s="584"/>
      <c r="DV9" s="584"/>
      <c r="DW9" s="584"/>
      <c r="DX9" s="584"/>
      <c r="DY9" s="584"/>
      <c r="DZ9" s="584"/>
      <c r="EA9" s="584"/>
      <c r="EB9" s="584"/>
      <c r="EC9" s="584"/>
      <c r="ED9" s="584"/>
      <c r="EE9" s="584"/>
      <c r="EF9" s="584"/>
      <c r="EG9" s="584"/>
      <c r="EH9" s="584"/>
      <c r="EI9" s="584"/>
      <c r="EJ9" s="584"/>
      <c r="EK9" s="584"/>
      <c r="EL9" s="584"/>
      <c r="EM9" s="584"/>
      <c r="EN9" s="584"/>
      <c r="EO9" s="584"/>
      <c r="EP9" s="584"/>
      <c r="EQ9" s="584"/>
      <c r="ER9" s="584"/>
      <c r="ES9" s="584"/>
      <c r="ET9" s="584"/>
      <c r="EU9" s="584"/>
      <c r="EV9" s="584"/>
      <c r="EW9" s="584"/>
      <c r="EX9" s="584"/>
      <c r="EY9" s="584"/>
      <c r="EZ9" s="584"/>
      <c r="FA9" s="584"/>
      <c r="FB9" s="584"/>
      <c r="FC9" s="584"/>
      <c r="FD9" s="584"/>
      <c r="FE9" s="584"/>
      <c r="FF9" s="584"/>
      <c r="FG9" s="584"/>
      <c r="FH9" s="584"/>
      <c r="FI9" s="584"/>
      <c r="FJ9" s="584"/>
      <c r="FK9" s="584"/>
      <c r="FL9" s="584"/>
      <c r="FM9" s="584"/>
      <c r="FN9" s="584"/>
      <c r="FO9" s="584"/>
      <c r="FP9" s="584"/>
      <c r="FQ9" s="584"/>
      <c r="FR9" s="584"/>
      <c r="FS9" s="584"/>
      <c r="FT9" s="584"/>
      <c r="FU9" s="584"/>
      <c r="FV9" s="584"/>
      <c r="FW9" s="584"/>
      <c r="FX9" s="584"/>
      <c r="FY9" s="584"/>
      <c r="FZ9" s="584"/>
      <c r="GA9" s="584"/>
      <c r="GB9" s="584"/>
      <c r="GC9" s="584"/>
      <c r="GD9" s="584"/>
      <c r="GE9" s="584"/>
      <c r="GF9" s="584"/>
      <c r="GG9" s="584"/>
      <c r="GH9" s="584"/>
      <c r="GI9" s="584"/>
      <c r="GJ9" s="584"/>
      <c r="GK9" s="584"/>
      <c r="GL9" s="584"/>
      <c r="GM9" s="584"/>
      <c r="GN9" s="584"/>
      <c r="GO9" s="584"/>
      <c r="GP9" s="584"/>
      <c r="GQ9" s="584"/>
      <c r="GR9" s="584"/>
      <c r="GS9" s="584"/>
      <c r="GT9" s="584"/>
      <c r="GU9" s="584"/>
      <c r="GV9" s="584"/>
      <c r="GW9" s="584"/>
      <c r="GX9" s="584"/>
      <c r="GY9" s="584"/>
      <c r="GZ9" s="584"/>
      <c r="HA9" s="584"/>
      <c r="HB9" s="584"/>
      <c r="HC9" s="584"/>
      <c r="HD9" s="584"/>
      <c r="HE9" s="584"/>
      <c r="HF9" s="584"/>
      <c r="HG9" s="584"/>
      <c r="HH9" s="584"/>
      <c r="HI9" s="584"/>
      <c r="HJ9" s="584"/>
      <c r="HK9" s="584"/>
      <c r="HL9" s="584"/>
      <c r="HM9" s="584"/>
      <c r="HN9" s="584"/>
      <c r="HO9" s="584"/>
      <c r="HP9" s="584"/>
      <c r="HQ9" s="584"/>
      <c r="HR9" s="584"/>
      <c r="HS9" s="584"/>
      <c r="HT9" s="584"/>
      <c r="HU9" s="584"/>
      <c r="HV9" s="584"/>
      <c r="HW9" s="584"/>
      <c r="HX9" s="584"/>
      <c r="HY9" s="584"/>
      <c r="HZ9" s="584"/>
      <c r="IA9" s="584"/>
      <c r="IB9" s="584"/>
      <c r="IC9" s="584"/>
      <c r="ID9" s="584"/>
      <c r="IE9" s="584"/>
      <c r="IF9" s="584"/>
      <c r="IG9" s="584"/>
      <c r="IH9" s="584"/>
      <c r="II9" s="584"/>
      <c r="IJ9" s="584"/>
      <c r="IK9" s="584"/>
      <c r="IL9" s="584"/>
      <c r="IM9" s="584"/>
      <c r="IN9" s="584"/>
      <c r="IO9" s="584"/>
      <c r="IP9" s="584"/>
      <c r="IQ9" s="584"/>
      <c r="IR9" s="584"/>
      <c r="IS9" s="584"/>
      <c r="IT9" s="584"/>
      <c r="IU9" s="584"/>
      <c r="IV9" s="584"/>
      <c r="IW9" s="584"/>
    </row>
    <row r="10" spans="2:257" ht="14.45" customHeight="1">
      <c r="B10" s="589" t="s">
        <v>969</v>
      </c>
      <c r="C10" s="581"/>
      <c r="D10" s="581"/>
      <c r="E10" s="581"/>
      <c r="F10" s="581"/>
      <c r="G10" s="581"/>
      <c r="H10" s="706"/>
      <c r="I10" s="706"/>
      <c r="J10" s="706"/>
      <c r="K10" s="706"/>
      <c r="L10" s="706"/>
      <c r="M10" s="706"/>
      <c r="N10" s="706"/>
      <c r="O10" s="592"/>
      <c r="P10" s="595"/>
      <c r="Q10" s="590"/>
      <c r="R10" s="584"/>
      <c r="S10" s="584"/>
      <c r="T10" s="584"/>
      <c r="U10" s="584"/>
      <c r="V10" s="584"/>
      <c r="W10" s="584"/>
      <c r="X10" s="584"/>
      <c r="Y10" s="584"/>
      <c r="Z10" s="584"/>
      <c r="AA10" s="584"/>
      <c r="AB10" s="584"/>
      <c r="AC10" s="584"/>
      <c r="AD10" s="584"/>
      <c r="AE10" s="584"/>
      <c r="AF10" s="584"/>
      <c r="AG10" s="584"/>
      <c r="AH10" s="584"/>
      <c r="AI10" s="584"/>
      <c r="AJ10" s="584"/>
      <c r="AK10" s="584"/>
      <c r="AL10" s="584"/>
      <c r="AM10" s="584"/>
      <c r="AN10" s="584"/>
      <c r="AO10" s="584"/>
      <c r="AP10" s="584"/>
      <c r="AQ10" s="584"/>
      <c r="AR10" s="584"/>
      <c r="AS10" s="584"/>
      <c r="AT10" s="584"/>
      <c r="AU10" s="584"/>
      <c r="AV10" s="584"/>
      <c r="AW10" s="584"/>
      <c r="AX10" s="584"/>
      <c r="AY10" s="584"/>
      <c r="AZ10" s="584"/>
      <c r="BA10" s="584"/>
      <c r="BB10" s="584"/>
      <c r="BC10" s="584"/>
      <c r="BD10" s="584"/>
      <c r="BE10" s="584"/>
      <c r="BF10" s="584"/>
      <c r="BG10" s="584"/>
      <c r="BH10" s="584"/>
      <c r="BI10" s="584"/>
      <c r="BJ10" s="584"/>
      <c r="BK10" s="584"/>
      <c r="BL10" s="584"/>
      <c r="BM10" s="584"/>
      <c r="BN10" s="584"/>
      <c r="BO10" s="584"/>
      <c r="BP10" s="584"/>
      <c r="BQ10" s="584"/>
      <c r="BR10" s="584"/>
      <c r="BS10" s="584"/>
      <c r="BT10" s="584"/>
      <c r="BU10" s="584"/>
      <c r="BV10" s="584"/>
      <c r="BW10" s="584"/>
      <c r="BX10" s="584"/>
      <c r="BY10" s="584"/>
      <c r="BZ10" s="584"/>
      <c r="CA10" s="584"/>
      <c r="CB10" s="584"/>
      <c r="CC10" s="584"/>
      <c r="CD10" s="584"/>
      <c r="CE10" s="584"/>
      <c r="CF10" s="584"/>
      <c r="CG10" s="584"/>
      <c r="CH10" s="584"/>
      <c r="CI10" s="584"/>
      <c r="CJ10" s="584"/>
      <c r="CK10" s="584"/>
      <c r="CL10" s="584"/>
      <c r="CM10" s="584"/>
      <c r="CN10" s="584"/>
      <c r="CO10" s="584"/>
      <c r="CP10" s="584"/>
      <c r="CQ10" s="584"/>
      <c r="CR10" s="584"/>
      <c r="CS10" s="584"/>
      <c r="CT10" s="584"/>
      <c r="CU10" s="584"/>
      <c r="CV10" s="584"/>
      <c r="CW10" s="584"/>
      <c r="CX10" s="584"/>
      <c r="CY10" s="584"/>
      <c r="CZ10" s="584"/>
      <c r="DA10" s="584"/>
      <c r="DB10" s="584"/>
      <c r="DC10" s="584"/>
      <c r="DD10" s="584"/>
      <c r="DE10" s="584"/>
      <c r="DF10" s="584"/>
      <c r="DG10" s="584"/>
      <c r="DH10" s="584"/>
      <c r="DI10" s="584"/>
      <c r="DJ10" s="584"/>
      <c r="DK10" s="584"/>
      <c r="DL10" s="584"/>
      <c r="DM10" s="584"/>
      <c r="DN10" s="584"/>
      <c r="DO10" s="584"/>
      <c r="DP10" s="584"/>
      <c r="DQ10" s="584"/>
      <c r="DR10" s="584"/>
      <c r="DS10" s="584"/>
      <c r="DT10" s="584"/>
      <c r="DU10" s="584"/>
      <c r="DV10" s="584"/>
      <c r="DW10" s="584"/>
      <c r="DX10" s="584"/>
      <c r="DY10" s="584"/>
      <c r="DZ10" s="584"/>
      <c r="EA10" s="584"/>
      <c r="EB10" s="584"/>
      <c r="EC10" s="584"/>
      <c r="ED10" s="584"/>
      <c r="EE10" s="584"/>
      <c r="EF10" s="584"/>
      <c r="EG10" s="584"/>
      <c r="EH10" s="584"/>
      <c r="EI10" s="584"/>
      <c r="EJ10" s="584"/>
      <c r="EK10" s="584"/>
      <c r="EL10" s="584"/>
      <c r="EM10" s="584"/>
      <c r="EN10" s="584"/>
      <c r="EO10" s="584"/>
      <c r="EP10" s="584"/>
      <c r="EQ10" s="584"/>
      <c r="ER10" s="584"/>
      <c r="ES10" s="584"/>
      <c r="ET10" s="584"/>
      <c r="EU10" s="584"/>
      <c r="EV10" s="584"/>
      <c r="EW10" s="584"/>
      <c r="EX10" s="584"/>
      <c r="EY10" s="584"/>
      <c r="EZ10" s="584"/>
      <c r="FA10" s="584"/>
      <c r="FB10" s="584"/>
      <c r="FC10" s="584"/>
      <c r="FD10" s="584"/>
      <c r="FE10" s="584"/>
      <c r="FF10" s="584"/>
      <c r="FG10" s="584"/>
      <c r="FH10" s="584"/>
      <c r="FI10" s="584"/>
      <c r="FJ10" s="584"/>
      <c r="FK10" s="584"/>
      <c r="FL10" s="584"/>
      <c r="FM10" s="584"/>
      <c r="FN10" s="584"/>
      <c r="FO10" s="584"/>
      <c r="FP10" s="584"/>
      <c r="FQ10" s="584"/>
      <c r="FR10" s="584"/>
      <c r="FS10" s="584"/>
      <c r="FT10" s="584"/>
      <c r="FU10" s="584"/>
      <c r="FV10" s="584"/>
      <c r="FW10" s="584"/>
      <c r="FX10" s="584"/>
      <c r="FY10" s="584"/>
      <c r="FZ10" s="584"/>
      <c r="GA10" s="584"/>
      <c r="GB10" s="584"/>
      <c r="GC10" s="584"/>
      <c r="GD10" s="584"/>
      <c r="GE10" s="584"/>
      <c r="GF10" s="584"/>
      <c r="GG10" s="584"/>
      <c r="GH10" s="584"/>
      <c r="GI10" s="584"/>
      <c r="GJ10" s="584"/>
      <c r="GK10" s="584"/>
      <c r="GL10" s="584"/>
      <c r="GM10" s="584"/>
      <c r="GN10" s="584"/>
      <c r="GO10" s="584"/>
      <c r="GP10" s="584"/>
      <c r="GQ10" s="584"/>
      <c r="GR10" s="584"/>
      <c r="GS10" s="584"/>
      <c r="GT10" s="584"/>
      <c r="GU10" s="584"/>
      <c r="GV10" s="584"/>
      <c r="GW10" s="584"/>
      <c r="GX10" s="584"/>
      <c r="GY10" s="584"/>
      <c r="GZ10" s="584"/>
      <c r="HA10" s="584"/>
      <c r="HB10" s="584"/>
      <c r="HC10" s="584"/>
      <c r="HD10" s="584"/>
      <c r="HE10" s="584"/>
      <c r="HF10" s="584"/>
      <c r="HG10" s="584"/>
      <c r="HH10" s="584"/>
      <c r="HI10" s="584"/>
      <c r="HJ10" s="584"/>
      <c r="HK10" s="584"/>
      <c r="HL10" s="584"/>
      <c r="HM10" s="584"/>
      <c r="HN10" s="584"/>
      <c r="HO10" s="584"/>
      <c r="HP10" s="584"/>
      <c r="HQ10" s="584"/>
      <c r="HR10" s="584"/>
      <c r="HS10" s="584"/>
      <c r="HT10" s="584"/>
      <c r="HU10" s="584"/>
      <c r="HV10" s="584"/>
      <c r="HW10" s="584"/>
      <c r="HX10" s="584"/>
      <c r="HY10" s="584"/>
      <c r="HZ10" s="584"/>
      <c r="IA10" s="584"/>
      <c r="IB10" s="584"/>
      <c r="IC10" s="584"/>
      <c r="ID10" s="584"/>
      <c r="IE10" s="584"/>
      <c r="IF10" s="584"/>
      <c r="IG10" s="584"/>
      <c r="IH10" s="584"/>
      <c r="II10" s="584"/>
      <c r="IJ10" s="584"/>
      <c r="IK10" s="584"/>
      <c r="IL10" s="584"/>
      <c r="IM10" s="584"/>
      <c r="IN10" s="584"/>
      <c r="IO10" s="584"/>
      <c r="IP10" s="584"/>
      <c r="IQ10" s="584"/>
      <c r="IR10" s="584"/>
      <c r="IS10" s="584"/>
      <c r="IT10" s="584"/>
      <c r="IU10" s="584"/>
      <c r="IV10" s="584"/>
      <c r="IW10" s="584"/>
    </row>
    <row r="11" spans="2:257" ht="14.45" customHeight="1">
      <c r="B11" s="589"/>
      <c r="C11" s="581"/>
      <c r="D11" s="581"/>
      <c r="E11" s="581"/>
      <c r="F11" s="581"/>
      <c r="G11" s="581"/>
      <c r="H11" s="579"/>
      <c r="I11" s="579"/>
      <c r="J11" s="579"/>
      <c r="K11" s="579"/>
      <c r="L11" s="579"/>
      <c r="M11" s="579"/>
      <c r="N11" s="579"/>
      <c r="O11" s="592"/>
      <c r="P11" s="595"/>
      <c r="Q11" s="590"/>
      <c r="R11" s="584"/>
      <c r="S11" s="584"/>
      <c r="T11" s="584"/>
      <c r="U11" s="584"/>
      <c r="V11" s="584"/>
      <c r="W11" s="584"/>
      <c r="X11" s="584"/>
      <c r="Y11" s="584"/>
      <c r="Z11" s="584"/>
      <c r="AA11" s="584"/>
      <c r="AB11" s="584"/>
      <c r="AC11" s="584"/>
      <c r="AD11" s="584"/>
      <c r="AE11" s="584"/>
      <c r="AF11" s="584"/>
      <c r="AG11" s="584"/>
      <c r="AH11" s="584"/>
      <c r="AI11" s="584"/>
      <c r="AJ11" s="584"/>
      <c r="AK11" s="584"/>
      <c r="AL11" s="584"/>
      <c r="AM11" s="584"/>
      <c r="AN11" s="584"/>
      <c r="AO11" s="584"/>
      <c r="AP11" s="584"/>
      <c r="AQ11" s="584"/>
      <c r="AR11" s="584"/>
      <c r="AS11" s="584"/>
      <c r="AT11" s="584"/>
      <c r="AU11" s="584"/>
      <c r="AV11" s="584"/>
      <c r="AW11" s="584"/>
      <c r="AX11" s="584"/>
      <c r="AY11" s="584"/>
      <c r="AZ11" s="584"/>
      <c r="BA11" s="584"/>
      <c r="BB11" s="584"/>
      <c r="BC11" s="584"/>
      <c r="BD11" s="584"/>
      <c r="BE11" s="584"/>
      <c r="BF11" s="584"/>
      <c r="BG11" s="584"/>
      <c r="BH11" s="584"/>
      <c r="BI11" s="584"/>
      <c r="BJ11" s="584"/>
      <c r="BK11" s="584"/>
      <c r="BL11" s="584"/>
      <c r="BM11" s="584"/>
      <c r="BN11" s="584"/>
      <c r="BO11" s="584"/>
      <c r="BP11" s="584"/>
      <c r="BQ11" s="584"/>
      <c r="BR11" s="584"/>
      <c r="BS11" s="584"/>
      <c r="BT11" s="584"/>
      <c r="BU11" s="584"/>
      <c r="BV11" s="584"/>
      <c r="BW11" s="584"/>
      <c r="BX11" s="584"/>
      <c r="BY11" s="584"/>
      <c r="BZ11" s="584"/>
      <c r="CA11" s="584"/>
      <c r="CB11" s="584"/>
      <c r="CC11" s="584"/>
      <c r="CD11" s="584"/>
      <c r="CE11" s="584"/>
      <c r="CF11" s="584"/>
      <c r="CG11" s="584"/>
      <c r="CH11" s="584"/>
      <c r="CI11" s="584"/>
      <c r="CJ11" s="584"/>
      <c r="CK11" s="584"/>
      <c r="CL11" s="584"/>
      <c r="CM11" s="584"/>
      <c r="CN11" s="584"/>
      <c r="CO11" s="584"/>
      <c r="CP11" s="584"/>
      <c r="CQ11" s="584"/>
      <c r="CR11" s="584"/>
      <c r="CS11" s="584"/>
      <c r="CT11" s="584"/>
      <c r="CU11" s="584"/>
      <c r="CV11" s="584"/>
      <c r="CW11" s="584"/>
      <c r="CX11" s="584"/>
      <c r="CY11" s="584"/>
      <c r="CZ11" s="584"/>
      <c r="DA11" s="584"/>
      <c r="DB11" s="584"/>
      <c r="DC11" s="584"/>
      <c r="DD11" s="584"/>
      <c r="DE11" s="584"/>
      <c r="DF11" s="584"/>
      <c r="DG11" s="584"/>
      <c r="DH11" s="584"/>
      <c r="DI11" s="584"/>
      <c r="DJ11" s="584"/>
      <c r="DK11" s="584"/>
      <c r="DL11" s="584"/>
      <c r="DM11" s="584"/>
      <c r="DN11" s="584"/>
      <c r="DO11" s="584"/>
      <c r="DP11" s="584"/>
      <c r="DQ11" s="584"/>
      <c r="DR11" s="584"/>
      <c r="DS11" s="584"/>
      <c r="DT11" s="584"/>
      <c r="DU11" s="584"/>
      <c r="DV11" s="584"/>
      <c r="DW11" s="584"/>
      <c r="DX11" s="584"/>
      <c r="DY11" s="584"/>
      <c r="DZ11" s="584"/>
      <c r="EA11" s="584"/>
      <c r="EB11" s="584"/>
      <c r="EC11" s="584"/>
      <c r="ED11" s="584"/>
      <c r="EE11" s="584"/>
      <c r="EF11" s="584"/>
      <c r="EG11" s="584"/>
      <c r="EH11" s="584"/>
      <c r="EI11" s="584"/>
      <c r="EJ11" s="584"/>
      <c r="EK11" s="584"/>
      <c r="EL11" s="584"/>
      <c r="EM11" s="584"/>
      <c r="EN11" s="584"/>
      <c r="EO11" s="584"/>
      <c r="EP11" s="584"/>
      <c r="EQ11" s="584"/>
      <c r="ER11" s="584"/>
      <c r="ES11" s="584"/>
      <c r="ET11" s="584"/>
      <c r="EU11" s="584"/>
      <c r="EV11" s="584"/>
      <c r="EW11" s="584"/>
      <c r="EX11" s="584"/>
      <c r="EY11" s="584"/>
      <c r="EZ11" s="584"/>
      <c r="FA11" s="584"/>
      <c r="FB11" s="584"/>
      <c r="FC11" s="584"/>
      <c r="FD11" s="584"/>
      <c r="FE11" s="584"/>
      <c r="FF11" s="584"/>
      <c r="FG11" s="584"/>
      <c r="FH11" s="584"/>
      <c r="FI11" s="584"/>
      <c r="FJ11" s="584"/>
      <c r="FK11" s="584"/>
      <c r="FL11" s="584"/>
      <c r="FM11" s="584"/>
      <c r="FN11" s="584"/>
      <c r="FO11" s="584"/>
      <c r="FP11" s="584"/>
      <c r="FQ11" s="584"/>
      <c r="FR11" s="584"/>
      <c r="FS11" s="584"/>
      <c r="FT11" s="584"/>
      <c r="FU11" s="584"/>
      <c r="FV11" s="584"/>
      <c r="FW11" s="584"/>
      <c r="FX11" s="584"/>
      <c r="FY11" s="584"/>
      <c r="FZ11" s="584"/>
      <c r="GA11" s="584"/>
      <c r="GB11" s="584"/>
      <c r="GC11" s="584"/>
      <c r="GD11" s="584"/>
      <c r="GE11" s="584"/>
      <c r="GF11" s="584"/>
      <c r="GG11" s="584"/>
      <c r="GH11" s="584"/>
      <c r="GI11" s="584"/>
      <c r="GJ11" s="584"/>
      <c r="GK11" s="584"/>
      <c r="GL11" s="584"/>
      <c r="GM11" s="584"/>
      <c r="GN11" s="584"/>
      <c r="GO11" s="584"/>
      <c r="GP11" s="584"/>
      <c r="GQ11" s="584"/>
      <c r="GR11" s="584"/>
      <c r="GS11" s="584"/>
      <c r="GT11" s="584"/>
      <c r="GU11" s="584"/>
      <c r="GV11" s="584"/>
      <c r="GW11" s="584"/>
      <c r="GX11" s="584"/>
      <c r="GY11" s="584"/>
      <c r="GZ11" s="584"/>
      <c r="HA11" s="584"/>
      <c r="HB11" s="584"/>
      <c r="HC11" s="584"/>
      <c r="HD11" s="584"/>
      <c r="HE11" s="584"/>
      <c r="HF11" s="584"/>
      <c r="HG11" s="584"/>
      <c r="HH11" s="584"/>
      <c r="HI11" s="584"/>
      <c r="HJ11" s="584"/>
      <c r="HK11" s="584"/>
      <c r="HL11" s="584"/>
      <c r="HM11" s="584"/>
      <c r="HN11" s="584"/>
      <c r="HO11" s="584"/>
      <c r="HP11" s="584"/>
      <c r="HQ11" s="584"/>
      <c r="HR11" s="584"/>
      <c r="HS11" s="584"/>
      <c r="HT11" s="584"/>
      <c r="HU11" s="584"/>
      <c r="HV11" s="584"/>
      <c r="HW11" s="584"/>
      <c r="HX11" s="584"/>
      <c r="HY11" s="584"/>
      <c r="HZ11" s="584"/>
      <c r="IA11" s="584"/>
      <c r="IB11" s="584"/>
      <c r="IC11" s="584"/>
      <c r="ID11" s="584"/>
      <c r="IE11" s="584"/>
      <c r="IF11" s="584"/>
      <c r="IG11" s="584"/>
      <c r="IH11" s="584"/>
      <c r="II11" s="584"/>
      <c r="IJ11" s="584"/>
      <c r="IK11" s="584"/>
      <c r="IL11" s="584"/>
      <c r="IM11" s="584"/>
      <c r="IN11" s="584"/>
      <c r="IO11" s="584"/>
      <c r="IP11" s="584"/>
      <c r="IQ11" s="584"/>
      <c r="IR11" s="584"/>
      <c r="IS11" s="584"/>
      <c r="IT11" s="584"/>
      <c r="IU11" s="584"/>
      <c r="IV11" s="584"/>
      <c r="IW11" s="584"/>
    </row>
    <row r="12" spans="2:257" ht="14.45" customHeight="1">
      <c r="B12" s="589" t="s">
        <v>970</v>
      </c>
      <c r="C12" s="581"/>
      <c r="D12" s="590"/>
      <c r="E12" s="581"/>
      <c r="F12" s="581"/>
      <c r="G12" s="581"/>
      <c r="H12" s="706"/>
      <c r="I12" s="706"/>
      <c r="J12" s="706"/>
      <c r="K12" s="706"/>
      <c r="L12" s="706"/>
      <c r="M12" s="706"/>
      <c r="N12" s="706"/>
      <c r="O12" s="590"/>
      <c r="P12" s="591" t="s">
        <v>971</v>
      </c>
      <c r="Q12" s="592"/>
      <c r="R12" s="586"/>
      <c r="S12" s="584"/>
      <c r="T12" s="584"/>
      <c r="U12" s="584"/>
      <c r="V12" s="584"/>
      <c r="W12" s="584"/>
      <c r="X12" s="584"/>
      <c r="Y12" s="584"/>
      <c r="Z12" s="584"/>
      <c r="AA12" s="584"/>
      <c r="AB12" s="584"/>
      <c r="AC12" s="584"/>
      <c r="AD12" s="584"/>
      <c r="AE12" s="584"/>
      <c r="AF12" s="584"/>
      <c r="AG12" s="584"/>
      <c r="AH12" s="584"/>
      <c r="AI12" s="584"/>
      <c r="AJ12" s="584"/>
      <c r="AK12" s="584"/>
      <c r="AL12" s="584"/>
      <c r="AM12" s="584"/>
      <c r="AN12" s="584"/>
      <c r="AO12" s="584"/>
      <c r="AP12" s="584"/>
      <c r="AQ12" s="584"/>
      <c r="AR12" s="584"/>
      <c r="AS12" s="584"/>
      <c r="AT12" s="584"/>
      <c r="AU12" s="584"/>
      <c r="AV12" s="584"/>
      <c r="AW12" s="584"/>
      <c r="AX12" s="584"/>
      <c r="AY12" s="584"/>
      <c r="AZ12" s="584"/>
      <c r="BA12" s="584"/>
      <c r="BB12" s="584"/>
      <c r="BC12" s="584"/>
      <c r="BD12" s="584"/>
      <c r="BE12" s="584"/>
      <c r="BF12" s="584"/>
      <c r="BG12" s="584"/>
      <c r="BH12" s="584"/>
      <c r="BI12" s="584"/>
      <c r="BJ12" s="584"/>
      <c r="BK12" s="584"/>
      <c r="BL12" s="584"/>
      <c r="BM12" s="584"/>
      <c r="BN12" s="584"/>
      <c r="BO12" s="584"/>
      <c r="BP12" s="584"/>
      <c r="BQ12" s="584"/>
      <c r="BR12" s="584"/>
      <c r="BS12" s="584"/>
      <c r="BT12" s="584"/>
      <c r="BU12" s="584"/>
      <c r="BV12" s="584"/>
      <c r="BW12" s="584"/>
      <c r="BX12" s="584"/>
      <c r="BY12" s="584"/>
      <c r="BZ12" s="584"/>
      <c r="CA12" s="584"/>
      <c r="CB12" s="584"/>
      <c r="CC12" s="584"/>
      <c r="CD12" s="584"/>
      <c r="CE12" s="584"/>
      <c r="CF12" s="584"/>
      <c r="CG12" s="584"/>
      <c r="CH12" s="584"/>
      <c r="CI12" s="584"/>
      <c r="CJ12" s="584"/>
      <c r="CK12" s="584"/>
      <c r="CL12" s="584"/>
      <c r="CM12" s="584"/>
      <c r="CN12" s="584"/>
      <c r="CO12" s="584"/>
      <c r="CP12" s="584"/>
      <c r="CQ12" s="584"/>
      <c r="CR12" s="584"/>
      <c r="CS12" s="584"/>
      <c r="CT12" s="584"/>
      <c r="CU12" s="584"/>
      <c r="CV12" s="584"/>
      <c r="CW12" s="584"/>
      <c r="CX12" s="584"/>
      <c r="CY12" s="584"/>
      <c r="CZ12" s="584"/>
      <c r="DA12" s="584"/>
      <c r="DB12" s="584"/>
      <c r="DC12" s="584"/>
      <c r="DD12" s="584"/>
      <c r="DE12" s="584"/>
      <c r="DF12" s="584"/>
      <c r="DG12" s="584"/>
      <c r="DH12" s="584"/>
      <c r="DI12" s="584"/>
      <c r="DJ12" s="584"/>
      <c r="DK12" s="584"/>
      <c r="DL12" s="584"/>
      <c r="DM12" s="584"/>
      <c r="DN12" s="584"/>
      <c r="DO12" s="584"/>
      <c r="DP12" s="584"/>
      <c r="DQ12" s="584"/>
      <c r="DR12" s="584"/>
      <c r="DS12" s="584"/>
      <c r="DT12" s="584"/>
      <c r="DU12" s="584"/>
      <c r="DV12" s="584"/>
      <c r="DW12" s="584"/>
      <c r="DX12" s="584"/>
      <c r="DY12" s="584"/>
      <c r="DZ12" s="584"/>
      <c r="EA12" s="584"/>
      <c r="EB12" s="584"/>
      <c r="EC12" s="584"/>
      <c r="ED12" s="584"/>
      <c r="EE12" s="584"/>
      <c r="EF12" s="584"/>
      <c r="EG12" s="584"/>
      <c r="EH12" s="584"/>
      <c r="EI12" s="584"/>
      <c r="EJ12" s="584"/>
      <c r="EK12" s="584"/>
      <c r="EL12" s="584"/>
      <c r="EM12" s="584"/>
      <c r="EN12" s="584"/>
      <c r="EO12" s="584"/>
      <c r="EP12" s="584"/>
      <c r="EQ12" s="584"/>
      <c r="ER12" s="584"/>
      <c r="ES12" s="584"/>
      <c r="ET12" s="584"/>
      <c r="EU12" s="584"/>
      <c r="EV12" s="584"/>
      <c r="EW12" s="584"/>
      <c r="EX12" s="584"/>
      <c r="EY12" s="584"/>
      <c r="EZ12" s="584"/>
      <c r="FA12" s="584"/>
      <c r="FB12" s="584"/>
      <c r="FC12" s="584"/>
      <c r="FD12" s="584"/>
      <c r="FE12" s="584"/>
      <c r="FF12" s="584"/>
      <c r="FG12" s="584"/>
      <c r="FH12" s="584"/>
      <c r="FI12" s="584"/>
      <c r="FJ12" s="584"/>
      <c r="FK12" s="584"/>
      <c r="FL12" s="584"/>
      <c r="FM12" s="584"/>
      <c r="FN12" s="584"/>
      <c r="FO12" s="584"/>
      <c r="FP12" s="584"/>
      <c r="FQ12" s="584"/>
      <c r="FR12" s="584"/>
      <c r="FS12" s="584"/>
      <c r="FT12" s="584"/>
      <c r="FU12" s="584"/>
      <c r="FV12" s="584"/>
      <c r="FW12" s="584"/>
      <c r="FX12" s="584"/>
      <c r="FY12" s="584"/>
      <c r="FZ12" s="584"/>
      <c r="GA12" s="584"/>
      <c r="GB12" s="584"/>
      <c r="GC12" s="584"/>
      <c r="GD12" s="584"/>
      <c r="GE12" s="584"/>
      <c r="GF12" s="584"/>
      <c r="GG12" s="584"/>
      <c r="GH12" s="584"/>
      <c r="GI12" s="584"/>
      <c r="GJ12" s="584"/>
      <c r="GK12" s="584"/>
      <c r="GL12" s="584"/>
      <c r="GM12" s="584"/>
      <c r="GN12" s="584"/>
      <c r="GO12" s="584"/>
      <c r="GP12" s="584"/>
      <c r="GQ12" s="584"/>
      <c r="GR12" s="584"/>
      <c r="GS12" s="584"/>
      <c r="GT12" s="584"/>
      <c r="GU12" s="584"/>
      <c r="GV12" s="584"/>
      <c r="GW12" s="584"/>
      <c r="GX12" s="584"/>
      <c r="GY12" s="584"/>
      <c r="GZ12" s="584"/>
      <c r="HA12" s="584"/>
      <c r="HB12" s="584"/>
      <c r="HC12" s="584"/>
      <c r="HD12" s="584"/>
      <c r="HE12" s="584"/>
      <c r="HF12" s="584"/>
      <c r="HG12" s="584"/>
      <c r="HH12" s="584"/>
      <c r="HI12" s="584"/>
      <c r="HJ12" s="584"/>
      <c r="HK12" s="584"/>
      <c r="HL12" s="584"/>
      <c r="HM12" s="584"/>
      <c r="HN12" s="584"/>
      <c r="HO12" s="584"/>
      <c r="HP12" s="584"/>
      <c r="HQ12" s="584"/>
      <c r="HR12" s="584"/>
      <c r="HS12" s="584"/>
      <c r="HT12" s="584"/>
      <c r="HU12" s="584"/>
      <c r="HV12" s="584"/>
      <c r="HW12" s="584"/>
      <c r="HX12" s="584"/>
      <c r="HY12" s="584"/>
      <c r="HZ12" s="584"/>
      <c r="IA12" s="584"/>
      <c r="IB12" s="584"/>
      <c r="IC12" s="584"/>
      <c r="ID12" s="584"/>
      <c r="IE12" s="584"/>
      <c r="IF12" s="584"/>
      <c r="IG12" s="584"/>
      <c r="IH12" s="584"/>
      <c r="II12" s="584"/>
      <c r="IJ12" s="584"/>
      <c r="IK12" s="584"/>
      <c r="IL12" s="584"/>
      <c r="IM12" s="584"/>
      <c r="IN12" s="584"/>
      <c r="IO12" s="584"/>
      <c r="IP12" s="584"/>
      <c r="IQ12" s="584"/>
      <c r="IR12" s="584"/>
      <c r="IS12" s="584"/>
      <c r="IT12" s="584"/>
      <c r="IU12" s="584"/>
      <c r="IV12" s="584"/>
      <c r="IW12" s="584"/>
    </row>
    <row r="13" spans="2:257" ht="14.45" customHeight="1">
      <c r="B13" s="589"/>
      <c r="C13" s="581"/>
      <c r="D13" s="590"/>
      <c r="E13" s="581"/>
      <c r="F13" s="581"/>
      <c r="G13" s="581"/>
      <c r="H13" s="579"/>
      <c r="I13" s="579"/>
      <c r="J13" s="579"/>
      <c r="K13" s="579"/>
      <c r="L13" s="579"/>
      <c r="M13" s="579"/>
      <c r="N13" s="579"/>
      <c r="O13" s="590"/>
      <c r="P13" s="591"/>
      <c r="Q13" s="592"/>
      <c r="R13" s="586"/>
      <c r="S13" s="584"/>
      <c r="T13" s="584"/>
      <c r="U13" s="584"/>
      <c r="V13" s="584"/>
      <c r="W13" s="584"/>
      <c r="X13" s="584"/>
      <c r="Y13" s="584"/>
      <c r="Z13" s="584"/>
      <c r="AA13" s="584"/>
      <c r="AB13" s="584"/>
      <c r="AC13" s="584"/>
      <c r="AD13" s="584"/>
      <c r="AE13" s="584"/>
      <c r="AF13" s="584"/>
      <c r="AG13" s="584"/>
      <c r="AH13" s="584"/>
      <c r="AI13" s="584"/>
      <c r="AJ13" s="584"/>
      <c r="AK13" s="584"/>
      <c r="AL13" s="584"/>
      <c r="AM13" s="584"/>
      <c r="AN13" s="584"/>
      <c r="AO13" s="584"/>
      <c r="AP13" s="584"/>
      <c r="AQ13" s="584"/>
      <c r="AR13" s="584"/>
      <c r="AS13" s="584"/>
      <c r="AT13" s="584"/>
      <c r="AU13" s="584"/>
      <c r="AV13" s="584"/>
      <c r="AW13" s="584"/>
      <c r="AX13" s="584"/>
      <c r="AY13" s="584"/>
      <c r="AZ13" s="584"/>
      <c r="BA13" s="584"/>
      <c r="BB13" s="584"/>
      <c r="BC13" s="584"/>
      <c r="BD13" s="584"/>
      <c r="BE13" s="584"/>
      <c r="BF13" s="584"/>
      <c r="BG13" s="584"/>
      <c r="BH13" s="584"/>
      <c r="BI13" s="584"/>
      <c r="BJ13" s="584"/>
      <c r="BK13" s="584"/>
      <c r="BL13" s="584"/>
      <c r="BM13" s="584"/>
      <c r="BN13" s="584"/>
      <c r="BO13" s="584"/>
      <c r="BP13" s="584"/>
      <c r="BQ13" s="584"/>
      <c r="BR13" s="584"/>
      <c r="BS13" s="584"/>
      <c r="BT13" s="584"/>
      <c r="BU13" s="584"/>
      <c r="BV13" s="584"/>
      <c r="BW13" s="584"/>
      <c r="BX13" s="584"/>
      <c r="BY13" s="584"/>
      <c r="BZ13" s="584"/>
      <c r="CA13" s="584"/>
      <c r="CB13" s="584"/>
      <c r="CC13" s="584"/>
      <c r="CD13" s="584"/>
      <c r="CE13" s="584"/>
      <c r="CF13" s="584"/>
      <c r="CG13" s="584"/>
      <c r="CH13" s="584"/>
      <c r="CI13" s="584"/>
      <c r="CJ13" s="584"/>
      <c r="CK13" s="584"/>
      <c r="CL13" s="584"/>
      <c r="CM13" s="584"/>
      <c r="CN13" s="584"/>
      <c r="CO13" s="584"/>
      <c r="CP13" s="584"/>
      <c r="CQ13" s="584"/>
      <c r="CR13" s="584"/>
      <c r="CS13" s="584"/>
      <c r="CT13" s="584"/>
      <c r="CU13" s="584"/>
      <c r="CV13" s="584"/>
      <c r="CW13" s="584"/>
      <c r="CX13" s="584"/>
      <c r="CY13" s="584"/>
      <c r="CZ13" s="584"/>
      <c r="DA13" s="584"/>
      <c r="DB13" s="584"/>
      <c r="DC13" s="584"/>
      <c r="DD13" s="584"/>
      <c r="DE13" s="584"/>
      <c r="DF13" s="584"/>
      <c r="DG13" s="584"/>
      <c r="DH13" s="584"/>
      <c r="DI13" s="584"/>
      <c r="DJ13" s="584"/>
      <c r="DK13" s="584"/>
      <c r="DL13" s="584"/>
      <c r="DM13" s="584"/>
      <c r="DN13" s="584"/>
      <c r="DO13" s="584"/>
      <c r="DP13" s="584"/>
      <c r="DQ13" s="584"/>
      <c r="DR13" s="584"/>
      <c r="DS13" s="584"/>
      <c r="DT13" s="584"/>
      <c r="DU13" s="584"/>
      <c r="DV13" s="584"/>
      <c r="DW13" s="584"/>
      <c r="DX13" s="584"/>
      <c r="DY13" s="584"/>
      <c r="DZ13" s="584"/>
      <c r="EA13" s="584"/>
      <c r="EB13" s="584"/>
      <c r="EC13" s="584"/>
      <c r="ED13" s="584"/>
      <c r="EE13" s="584"/>
      <c r="EF13" s="584"/>
      <c r="EG13" s="584"/>
      <c r="EH13" s="584"/>
      <c r="EI13" s="584"/>
      <c r="EJ13" s="584"/>
      <c r="EK13" s="584"/>
      <c r="EL13" s="584"/>
      <c r="EM13" s="584"/>
      <c r="EN13" s="584"/>
      <c r="EO13" s="584"/>
      <c r="EP13" s="584"/>
      <c r="EQ13" s="584"/>
      <c r="ER13" s="584"/>
      <c r="ES13" s="584"/>
      <c r="ET13" s="584"/>
      <c r="EU13" s="584"/>
      <c r="EV13" s="584"/>
      <c r="EW13" s="584"/>
      <c r="EX13" s="584"/>
      <c r="EY13" s="584"/>
      <c r="EZ13" s="584"/>
      <c r="FA13" s="584"/>
      <c r="FB13" s="584"/>
      <c r="FC13" s="584"/>
      <c r="FD13" s="584"/>
      <c r="FE13" s="584"/>
      <c r="FF13" s="584"/>
      <c r="FG13" s="584"/>
      <c r="FH13" s="584"/>
      <c r="FI13" s="584"/>
      <c r="FJ13" s="584"/>
      <c r="FK13" s="584"/>
      <c r="FL13" s="584"/>
      <c r="FM13" s="584"/>
      <c r="FN13" s="584"/>
      <c r="FO13" s="584"/>
      <c r="FP13" s="584"/>
      <c r="FQ13" s="584"/>
      <c r="FR13" s="584"/>
      <c r="FS13" s="584"/>
      <c r="FT13" s="584"/>
      <c r="FU13" s="584"/>
      <c r="FV13" s="584"/>
      <c r="FW13" s="584"/>
      <c r="FX13" s="584"/>
      <c r="FY13" s="584"/>
      <c r="FZ13" s="584"/>
      <c r="GA13" s="584"/>
      <c r="GB13" s="584"/>
      <c r="GC13" s="584"/>
      <c r="GD13" s="584"/>
      <c r="GE13" s="584"/>
      <c r="GF13" s="584"/>
      <c r="GG13" s="584"/>
      <c r="GH13" s="584"/>
      <c r="GI13" s="584"/>
      <c r="GJ13" s="584"/>
      <c r="GK13" s="584"/>
      <c r="GL13" s="584"/>
      <c r="GM13" s="584"/>
      <c r="GN13" s="584"/>
      <c r="GO13" s="584"/>
      <c r="GP13" s="584"/>
      <c r="GQ13" s="584"/>
      <c r="GR13" s="584"/>
      <c r="GS13" s="584"/>
      <c r="GT13" s="584"/>
      <c r="GU13" s="584"/>
      <c r="GV13" s="584"/>
      <c r="GW13" s="584"/>
      <c r="GX13" s="584"/>
      <c r="GY13" s="584"/>
      <c r="GZ13" s="584"/>
      <c r="HA13" s="584"/>
      <c r="HB13" s="584"/>
      <c r="HC13" s="584"/>
      <c r="HD13" s="584"/>
      <c r="HE13" s="584"/>
      <c r="HF13" s="584"/>
      <c r="HG13" s="584"/>
      <c r="HH13" s="584"/>
      <c r="HI13" s="584"/>
      <c r="HJ13" s="584"/>
      <c r="HK13" s="584"/>
      <c r="HL13" s="584"/>
      <c r="HM13" s="584"/>
      <c r="HN13" s="584"/>
      <c r="HO13" s="584"/>
      <c r="HP13" s="584"/>
      <c r="HQ13" s="584"/>
      <c r="HR13" s="584"/>
      <c r="HS13" s="584"/>
      <c r="HT13" s="584"/>
      <c r="HU13" s="584"/>
      <c r="HV13" s="584"/>
      <c r="HW13" s="584"/>
      <c r="HX13" s="584"/>
      <c r="HY13" s="584"/>
      <c r="HZ13" s="584"/>
      <c r="IA13" s="584"/>
      <c r="IB13" s="584"/>
      <c r="IC13" s="584"/>
      <c r="ID13" s="584"/>
      <c r="IE13" s="584"/>
      <c r="IF13" s="584"/>
      <c r="IG13" s="584"/>
      <c r="IH13" s="584"/>
      <c r="II13" s="584"/>
      <c r="IJ13" s="584"/>
      <c r="IK13" s="584"/>
      <c r="IL13" s="584"/>
      <c r="IM13" s="584"/>
      <c r="IN13" s="584"/>
      <c r="IO13" s="584"/>
      <c r="IP13" s="584"/>
      <c r="IQ13" s="584"/>
      <c r="IR13" s="584"/>
      <c r="IS13" s="584"/>
      <c r="IT13" s="584"/>
      <c r="IU13" s="584"/>
      <c r="IV13" s="584"/>
      <c r="IW13" s="584"/>
    </row>
    <row r="14" spans="2:257" ht="15.2" customHeight="1">
      <c r="B14" s="589" t="s">
        <v>972</v>
      </c>
      <c r="C14" s="581"/>
      <c r="D14" s="581"/>
      <c r="E14" s="581"/>
      <c r="F14" s="581"/>
      <c r="G14" s="581"/>
      <c r="H14" s="579" t="s">
        <v>973</v>
      </c>
      <c r="I14" s="592"/>
      <c r="J14" s="592"/>
      <c r="K14" s="592"/>
      <c r="L14" s="592"/>
      <c r="M14" s="592"/>
      <c r="N14" s="592"/>
      <c r="O14" s="592"/>
      <c r="P14" s="579" t="s">
        <v>974</v>
      </c>
      <c r="Q14" s="596"/>
      <c r="R14" s="584"/>
      <c r="S14" s="584"/>
      <c r="T14" s="584"/>
      <c r="U14" s="584"/>
      <c r="V14" s="584"/>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584"/>
      <c r="AV14" s="584"/>
      <c r="AW14" s="584"/>
      <c r="AX14" s="584"/>
      <c r="AY14" s="584"/>
      <c r="AZ14" s="584"/>
      <c r="BA14" s="584"/>
      <c r="BB14" s="584"/>
      <c r="BC14" s="584"/>
      <c r="BD14" s="584"/>
      <c r="BE14" s="584"/>
      <c r="BF14" s="584"/>
      <c r="BG14" s="584"/>
      <c r="BH14" s="584"/>
      <c r="BI14" s="584"/>
      <c r="BJ14" s="584"/>
      <c r="BK14" s="584"/>
      <c r="BL14" s="584"/>
      <c r="BM14" s="584"/>
      <c r="BN14" s="584"/>
      <c r="BO14" s="584"/>
      <c r="BP14" s="584"/>
      <c r="BQ14" s="584"/>
      <c r="BR14" s="584"/>
      <c r="BS14" s="584"/>
      <c r="BT14" s="584"/>
      <c r="BU14" s="584"/>
      <c r="BV14" s="584"/>
      <c r="BW14" s="584"/>
      <c r="BX14" s="584"/>
      <c r="BY14" s="584"/>
      <c r="BZ14" s="584"/>
      <c r="CA14" s="584"/>
      <c r="CB14" s="584"/>
      <c r="CC14" s="584"/>
      <c r="CD14" s="584"/>
      <c r="CE14" s="584"/>
      <c r="CF14" s="584"/>
      <c r="CG14" s="584"/>
      <c r="CH14" s="584"/>
      <c r="CI14" s="584"/>
      <c r="CJ14" s="584"/>
      <c r="CK14" s="584"/>
      <c r="CL14" s="584"/>
      <c r="CM14" s="584"/>
      <c r="CN14" s="584"/>
      <c r="CO14" s="584"/>
      <c r="CP14" s="584"/>
      <c r="CQ14" s="584"/>
      <c r="CR14" s="584"/>
      <c r="CS14" s="584"/>
      <c r="CT14" s="584"/>
      <c r="CU14" s="584"/>
      <c r="CV14" s="584"/>
      <c r="CW14" s="584"/>
      <c r="CX14" s="584"/>
      <c r="CY14" s="584"/>
      <c r="CZ14" s="584"/>
      <c r="DA14" s="584"/>
      <c r="DB14" s="584"/>
      <c r="DC14" s="584"/>
      <c r="DD14" s="584"/>
      <c r="DE14" s="584"/>
      <c r="DF14" s="584"/>
      <c r="DG14" s="584"/>
      <c r="DH14" s="584"/>
      <c r="DI14" s="584"/>
      <c r="DJ14" s="584"/>
      <c r="DK14" s="584"/>
      <c r="DL14" s="584"/>
      <c r="DM14" s="584"/>
      <c r="DN14" s="584"/>
      <c r="DO14" s="584"/>
      <c r="DP14" s="584"/>
      <c r="DQ14" s="584"/>
      <c r="DR14" s="584"/>
      <c r="DS14" s="584"/>
      <c r="DT14" s="584"/>
      <c r="DU14" s="584"/>
      <c r="DV14" s="584"/>
      <c r="DW14" s="584"/>
      <c r="DX14" s="584"/>
      <c r="DY14" s="584"/>
      <c r="DZ14" s="584"/>
      <c r="EA14" s="584"/>
      <c r="EB14" s="584"/>
      <c r="EC14" s="584"/>
      <c r="ED14" s="584"/>
      <c r="EE14" s="584"/>
      <c r="EF14" s="584"/>
      <c r="EG14" s="584"/>
      <c r="EH14" s="584"/>
      <c r="EI14" s="584"/>
      <c r="EJ14" s="584"/>
      <c r="EK14" s="584"/>
      <c r="EL14" s="584"/>
      <c r="EM14" s="584"/>
      <c r="EN14" s="584"/>
      <c r="EO14" s="584"/>
      <c r="EP14" s="584"/>
      <c r="EQ14" s="584"/>
      <c r="ER14" s="584"/>
      <c r="ES14" s="584"/>
      <c r="ET14" s="584"/>
      <c r="EU14" s="584"/>
      <c r="EV14" s="584"/>
      <c r="EW14" s="584"/>
      <c r="EX14" s="584"/>
      <c r="EY14" s="584"/>
      <c r="EZ14" s="584"/>
      <c r="FA14" s="584"/>
      <c r="FB14" s="584"/>
      <c r="FC14" s="584"/>
      <c r="FD14" s="584"/>
      <c r="FE14" s="584"/>
      <c r="FF14" s="584"/>
      <c r="FG14" s="584"/>
      <c r="FH14" s="584"/>
      <c r="FI14" s="584"/>
      <c r="FJ14" s="584"/>
      <c r="FK14" s="584"/>
      <c r="FL14" s="584"/>
      <c r="FM14" s="584"/>
      <c r="FN14" s="584"/>
      <c r="FO14" s="584"/>
      <c r="FP14" s="584"/>
      <c r="FQ14" s="584"/>
      <c r="FR14" s="584"/>
      <c r="FS14" s="584"/>
      <c r="FT14" s="584"/>
      <c r="FU14" s="584"/>
      <c r="FV14" s="584"/>
      <c r="FW14" s="584"/>
      <c r="FX14" s="584"/>
      <c r="FY14" s="584"/>
      <c r="FZ14" s="584"/>
      <c r="GA14" s="584"/>
      <c r="GB14" s="584"/>
      <c r="GC14" s="584"/>
      <c r="GD14" s="584"/>
      <c r="GE14" s="584"/>
      <c r="GF14" s="584"/>
      <c r="GG14" s="584"/>
      <c r="GH14" s="584"/>
      <c r="GI14" s="584"/>
      <c r="GJ14" s="584"/>
      <c r="GK14" s="584"/>
      <c r="GL14" s="584"/>
      <c r="GM14" s="584"/>
      <c r="GN14" s="584"/>
      <c r="GO14" s="584"/>
      <c r="GP14" s="584"/>
      <c r="GQ14" s="584"/>
      <c r="GR14" s="584"/>
      <c r="GS14" s="584"/>
      <c r="GT14" s="584"/>
      <c r="GU14" s="584"/>
      <c r="GV14" s="584"/>
      <c r="GW14" s="584"/>
      <c r="GX14" s="584"/>
      <c r="GY14" s="584"/>
      <c r="GZ14" s="584"/>
      <c r="HA14" s="584"/>
      <c r="HB14" s="584"/>
      <c r="HC14" s="584"/>
      <c r="HD14" s="584"/>
      <c r="HE14" s="584"/>
      <c r="HF14" s="584"/>
      <c r="HG14" s="584"/>
      <c r="HH14" s="584"/>
      <c r="HI14" s="584"/>
      <c r="HJ14" s="584"/>
      <c r="HK14" s="584"/>
      <c r="HL14" s="584"/>
      <c r="HM14" s="584"/>
      <c r="HN14" s="584"/>
      <c r="HO14" s="584"/>
      <c r="HP14" s="584"/>
      <c r="HQ14" s="584"/>
      <c r="HR14" s="584"/>
      <c r="HS14" s="584"/>
      <c r="HT14" s="584"/>
      <c r="HU14" s="584"/>
      <c r="HV14" s="584"/>
      <c r="HW14" s="584"/>
      <c r="HX14" s="584"/>
      <c r="HY14" s="584"/>
      <c r="HZ14" s="584"/>
      <c r="IA14" s="584"/>
      <c r="IB14" s="584"/>
      <c r="IC14" s="584"/>
      <c r="ID14" s="584"/>
      <c r="IE14" s="584"/>
      <c r="IF14" s="584"/>
      <c r="IG14" s="584"/>
      <c r="IH14" s="584"/>
      <c r="II14" s="584"/>
      <c r="IJ14" s="584"/>
      <c r="IK14" s="584"/>
      <c r="IL14" s="584"/>
      <c r="IM14" s="584"/>
      <c r="IN14" s="584"/>
      <c r="IO14" s="584"/>
      <c r="IP14" s="584"/>
      <c r="IQ14" s="584"/>
      <c r="IR14" s="584"/>
      <c r="IS14" s="584"/>
      <c r="IT14" s="584"/>
      <c r="IU14" s="584"/>
      <c r="IV14" s="584"/>
      <c r="IW14" s="584"/>
    </row>
    <row r="15" spans="2:257" ht="14.45" customHeight="1">
      <c r="B15" s="581"/>
      <c r="C15" s="581"/>
      <c r="D15" s="581"/>
      <c r="E15" s="581"/>
      <c r="F15" s="581"/>
      <c r="G15" s="581"/>
      <c r="H15" s="597"/>
      <c r="I15" s="591"/>
      <c r="J15" s="591"/>
      <c r="K15" s="591"/>
      <c r="L15" s="591"/>
      <c r="M15" s="591"/>
      <c r="N15" s="591"/>
      <c r="O15" s="592"/>
      <c r="P15" s="595"/>
      <c r="Q15" s="590"/>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c r="AP15" s="584"/>
      <c r="AQ15" s="584"/>
      <c r="AR15" s="584"/>
      <c r="AS15" s="584"/>
      <c r="AT15" s="584"/>
      <c r="AU15" s="584"/>
      <c r="AV15" s="584"/>
      <c r="AW15" s="584"/>
      <c r="AX15" s="584"/>
      <c r="AY15" s="584"/>
      <c r="AZ15" s="584"/>
      <c r="BA15" s="584"/>
      <c r="BB15" s="584"/>
      <c r="BC15" s="584"/>
      <c r="BD15" s="584"/>
      <c r="BE15" s="584"/>
      <c r="BF15" s="584"/>
      <c r="BG15" s="584"/>
      <c r="BH15" s="584"/>
      <c r="BI15" s="584"/>
      <c r="BJ15" s="584"/>
      <c r="BK15" s="584"/>
      <c r="BL15" s="584"/>
      <c r="BM15" s="584"/>
      <c r="BN15" s="584"/>
      <c r="BO15" s="584"/>
      <c r="BP15" s="584"/>
      <c r="BQ15" s="584"/>
      <c r="BR15" s="584"/>
      <c r="BS15" s="584"/>
      <c r="BT15" s="584"/>
      <c r="BU15" s="584"/>
      <c r="BV15" s="584"/>
      <c r="BW15" s="584"/>
      <c r="BX15" s="584"/>
      <c r="BY15" s="584"/>
      <c r="BZ15" s="584"/>
      <c r="CA15" s="584"/>
      <c r="CB15" s="584"/>
      <c r="CC15" s="584"/>
      <c r="CD15" s="584"/>
      <c r="CE15" s="584"/>
      <c r="CF15" s="584"/>
      <c r="CG15" s="584"/>
      <c r="CH15" s="584"/>
      <c r="CI15" s="584"/>
      <c r="CJ15" s="584"/>
      <c r="CK15" s="584"/>
      <c r="CL15" s="584"/>
      <c r="CM15" s="584"/>
      <c r="CN15" s="584"/>
      <c r="CO15" s="584"/>
      <c r="CP15" s="584"/>
      <c r="CQ15" s="584"/>
      <c r="CR15" s="584"/>
      <c r="CS15" s="584"/>
      <c r="CT15" s="584"/>
      <c r="CU15" s="584"/>
      <c r="CV15" s="584"/>
      <c r="CW15" s="584"/>
      <c r="CX15" s="584"/>
      <c r="CY15" s="584"/>
      <c r="CZ15" s="584"/>
      <c r="DA15" s="584"/>
      <c r="DB15" s="584"/>
      <c r="DC15" s="584"/>
      <c r="DD15" s="584"/>
      <c r="DE15" s="584"/>
      <c r="DF15" s="584"/>
      <c r="DG15" s="584"/>
      <c r="DH15" s="584"/>
      <c r="DI15" s="584"/>
      <c r="DJ15" s="584"/>
      <c r="DK15" s="584"/>
      <c r="DL15" s="584"/>
      <c r="DM15" s="584"/>
      <c r="DN15" s="584"/>
      <c r="DO15" s="584"/>
      <c r="DP15" s="584"/>
      <c r="DQ15" s="584"/>
      <c r="DR15" s="584"/>
      <c r="DS15" s="584"/>
      <c r="DT15" s="584"/>
      <c r="DU15" s="584"/>
      <c r="DV15" s="584"/>
      <c r="DW15" s="584"/>
      <c r="DX15" s="584"/>
      <c r="DY15" s="584"/>
      <c r="DZ15" s="584"/>
      <c r="EA15" s="584"/>
      <c r="EB15" s="584"/>
      <c r="EC15" s="584"/>
      <c r="ED15" s="584"/>
      <c r="EE15" s="584"/>
      <c r="EF15" s="584"/>
      <c r="EG15" s="584"/>
      <c r="EH15" s="584"/>
      <c r="EI15" s="584"/>
      <c r="EJ15" s="584"/>
      <c r="EK15" s="584"/>
      <c r="EL15" s="584"/>
      <c r="EM15" s="584"/>
      <c r="EN15" s="584"/>
      <c r="EO15" s="584"/>
      <c r="EP15" s="584"/>
      <c r="EQ15" s="584"/>
      <c r="ER15" s="584"/>
      <c r="ES15" s="584"/>
      <c r="ET15" s="584"/>
      <c r="EU15" s="584"/>
      <c r="EV15" s="584"/>
      <c r="EW15" s="584"/>
      <c r="EX15" s="584"/>
      <c r="EY15" s="584"/>
      <c r="EZ15" s="584"/>
      <c r="FA15" s="584"/>
      <c r="FB15" s="584"/>
      <c r="FC15" s="584"/>
      <c r="FD15" s="584"/>
      <c r="FE15" s="584"/>
      <c r="FF15" s="584"/>
      <c r="FG15" s="584"/>
      <c r="FH15" s="584"/>
      <c r="FI15" s="584"/>
      <c r="FJ15" s="584"/>
      <c r="FK15" s="584"/>
      <c r="FL15" s="584"/>
      <c r="FM15" s="584"/>
      <c r="FN15" s="584"/>
      <c r="FO15" s="584"/>
      <c r="FP15" s="584"/>
      <c r="FQ15" s="584"/>
      <c r="FR15" s="584"/>
      <c r="FS15" s="584"/>
      <c r="FT15" s="584"/>
      <c r="FU15" s="584"/>
      <c r="FV15" s="584"/>
      <c r="FW15" s="584"/>
      <c r="FX15" s="584"/>
      <c r="FY15" s="584"/>
      <c r="FZ15" s="584"/>
      <c r="GA15" s="584"/>
      <c r="GB15" s="584"/>
      <c r="GC15" s="584"/>
      <c r="GD15" s="584"/>
      <c r="GE15" s="584"/>
      <c r="GF15" s="584"/>
      <c r="GG15" s="584"/>
      <c r="GH15" s="584"/>
      <c r="GI15" s="584"/>
      <c r="GJ15" s="584"/>
      <c r="GK15" s="584"/>
      <c r="GL15" s="584"/>
      <c r="GM15" s="584"/>
      <c r="GN15" s="584"/>
      <c r="GO15" s="584"/>
      <c r="GP15" s="584"/>
      <c r="GQ15" s="584"/>
      <c r="GR15" s="584"/>
      <c r="GS15" s="584"/>
      <c r="GT15" s="584"/>
      <c r="GU15" s="584"/>
      <c r="GV15" s="584"/>
      <c r="GW15" s="584"/>
      <c r="GX15" s="584"/>
      <c r="GY15" s="584"/>
      <c r="GZ15" s="584"/>
      <c r="HA15" s="584"/>
      <c r="HB15" s="584"/>
      <c r="HC15" s="584"/>
      <c r="HD15" s="584"/>
      <c r="HE15" s="584"/>
      <c r="HF15" s="584"/>
      <c r="HG15" s="584"/>
      <c r="HH15" s="584"/>
      <c r="HI15" s="584"/>
      <c r="HJ15" s="584"/>
      <c r="HK15" s="584"/>
      <c r="HL15" s="584"/>
      <c r="HM15" s="584"/>
      <c r="HN15" s="584"/>
      <c r="HO15" s="584"/>
      <c r="HP15" s="584"/>
      <c r="HQ15" s="584"/>
      <c r="HR15" s="584"/>
      <c r="HS15" s="584"/>
      <c r="HT15" s="584"/>
      <c r="HU15" s="584"/>
      <c r="HV15" s="584"/>
      <c r="HW15" s="584"/>
      <c r="HX15" s="584"/>
      <c r="HY15" s="584"/>
      <c r="HZ15" s="584"/>
      <c r="IA15" s="584"/>
      <c r="IB15" s="584"/>
      <c r="IC15" s="584"/>
      <c r="ID15" s="584"/>
      <c r="IE15" s="584"/>
      <c r="IF15" s="584"/>
      <c r="IG15" s="584"/>
      <c r="IH15" s="584"/>
      <c r="II15" s="584"/>
      <c r="IJ15" s="584"/>
      <c r="IK15" s="584"/>
      <c r="IL15" s="584"/>
      <c r="IM15" s="584"/>
      <c r="IN15" s="584"/>
      <c r="IO15" s="584"/>
      <c r="IP15" s="584"/>
      <c r="IQ15" s="584"/>
      <c r="IR15" s="584"/>
      <c r="IS15" s="584"/>
      <c r="IT15" s="584"/>
      <c r="IU15" s="584"/>
      <c r="IV15" s="584"/>
      <c r="IW15" s="584"/>
    </row>
    <row r="16" spans="2:257" ht="14.45" customHeight="1">
      <c r="B16" s="598"/>
      <c r="C16" s="599"/>
      <c r="D16" s="599"/>
      <c r="E16" s="599"/>
      <c r="F16" s="582"/>
      <c r="G16" s="582"/>
      <c r="H16" s="600"/>
      <c r="I16" s="591"/>
      <c r="J16" s="591"/>
      <c r="K16" s="591"/>
      <c r="L16" s="591"/>
      <c r="M16" s="591"/>
      <c r="N16" s="591"/>
      <c r="O16" s="583"/>
      <c r="P16" s="601"/>
      <c r="Q16" s="584"/>
      <c r="R16" s="584"/>
      <c r="S16" s="584"/>
      <c r="T16" s="584"/>
      <c r="U16" s="584"/>
      <c r="V16" s="584"/>
      <c r="W16" s="584"/>
      <c r="X16" s="584"/>
      <c r="Y16" s="584"/>
      <c r="Z16" s="584"/>
      <c r="AA16" s="584"/>
      <c r="AB16" s="584"/>
      <c r="AC16" s="584"/>
      <c r="AD16" s="584"/>
      <c r="AE16" s="584"/>
      <c r="AF16" s="584"/>
      <c r="AG16" s="584"/>
      <c r="AH16" s="584"/>
      <c r="AI16" s="584"/>
      <c r="AJ16" s="584"/>
      <c r="AK16" s="584"/>
      <c r="AL16" s="584"/>
      <c r="AM16" s="584"/>
      <c r="AN16" s="584"/>
      <c r="AO16" s="584"/>
      <c r="AP16" s="584"/>
      <c r="AQ16" s="584"/>
      <c r="AR16" s="584"/>
      <c r="AS16" s="584"/>
      <c r="AT16" s="584"/>
      <c r="AU16" s="584"/>
      <c r="AV16" s="584"/>
      <c r="AW16" s="584"/>
      <c r="AX16" s="584"/>
      <c r="AY16" s="584"/>
      <c r="AZ16" s="584"/>
      <c r="BA16" s="584"/>
      <c r="BB16" s="584"/>
      <c r="BC16" s="584"/>
      <c r="BD16" s="584"/>
      <c r="BE16" s="584"/>
      <c r="BF16" s="584"/>
      <c r="BG16" s="584"/>
      <c r="BH16" s="584"/>
      <c r="BI16" s="584"/>
      <c r="BJ16" s="584"/>
      <c r="BK16" s="584"/>
      <c r="BL16" s="584"/>
      <c r="BM16" s="584"/>
      <c r="BN16" s="584"/>
      <c r="BO16" s="584"/>
      <c r="BP16" s="584"/>
      <c r="BQ16" s="584"/>
      <c r="BR16" s="584"/>
      <c r="BS16" s="584"/>
      <c r="BT16" s="584"/>
      <c r="BU16" s="584"/>
      <c r="BV16" s="584"/>
      <c r="BW16" s="584"/>
      <c r="BX16" s="584"/>
      <c r="BY16" s="584"/>
      <c r="BZ16" s="584"/>
      <c r="CA16" s="584"/>
      <c r="CB16" s="584"/>
      <c r="CC16" s="584"/>
      <c r="CD16" s="584"/>
      <c r="CE16" s="584"/>
      <c r="CF16" s="584"/>
      <c r="CG16" s="584"/>
      <c r="CH16" s="584"/>
      <c r="CI16" s="584"/>
      <c r="CJ16" s="584"/>
      <c r="CK16" s="584"/>
      <c r="CL16" s="584"/>
      <c r="CM16" s="584"/>
      <c r="CN16" s="584"/>
      <c r="CO16" s="584"/>
      <c r="CP16" s="584"/>
      <c r="CQ16" s="584"/>
      <c r="CR16" s="584"/>
      <c r="CS16" s="584"/>
      <c r="CT16" s="584"/>
      <c r="CU16" s="584"/>
      <c r="CV16" s="584"/>
      <c r="CW16" s="584"/>
      <c r="CX16" s="584"/>
      <c r="CY16" s="584"/>
      <c r="CZ16" s="584"/>
      <c r="DA16" s="584"/>
      <c r="DB16" s="584"/>
      <c r="DC16" s="584"/>
      <c r="DD16" s="584"/>
      <c r="DE16" s="584"/>
      <c r="DF16" s="584"/>
      <c r="DG16" s="584"/>
      <c r="DH16" s="584"/>
      <c r="DI16" s="584"/>
      <c r="DJ16" s="584"/>
      <c r="DK16" s="584"/>
      <c r="DL16" s="584"/>
      <c r="DM16" s="584"/>
      <c r="DN16" s="584"/>
      <c r="DO16" s="584"/>
      <c r="DP16" s="584"/>
      <c r="DQ16" s="584"/>
      <c r="DR16" s="584"/>
      <c r="DS16" s="584"/>
      <c r="DT16" s="584"/>
      <c r="DU16" s="584"/>
      <c r="DV16" s="584"/>
      <c r="DW16" s="584"/>
      <c r="DX16" s="584"/>
      <c r="DY16" s="584"/>
      <c r="DZ16" s="584"/>
      <c r="EA16" s="584"/>
      <c r="EB16" s="584"/>
      <c r="EC16" s="584"/>
      <c r="ED16" s="584"/>
      <c r="EE16" s="584"/>
      <c r="EF16" s="584"/>
      <c r="EG16" s="584"/>
      <c r="EH16" s="584"/>
      <c r="EI16" s="584"/>
      <c r="EJ16" s="584"/>
      <c r="EK16" s="584"/>
      <c r="EL16" s="584"/>
      <c r="EM16" s="584"/>
      <c r="EN16" s="584"/>
      <c r="EO16" s="584"/>
      <c r="EP16" s="584"/>
      <c r="EQ16" s="584"/>
      <c r="ER16" s="584"/>
      <c r="ES16" s="584"/>
      <c r="ET16" s="584"/>
      <c r="EU16" s="584"/>
      <c r="EV16" s="584"/>
      <c r="EW16" s="584"/>
      <c r="EX16" s="584"/>
      <c r="EY16" s="584"/>
      <c r="EZ16" s="584"/>
      <c r="FA16" s="584"/>
      <c r="FB16" s="584"/>
      <c r="FC16" s="584"/>
      <c r="FD16" s="584"/>
      <c r="FE16" s="584"/>
      <c r="FF16" s="584"/>
      <c r="FG16" s="584"/>
      <c r="FH16" s="584"/>
      <c r="FI16" s="584"/>
      <c r="FJ16" s="584"/>
      <c r="FK16" s="584"/>
      <c r="FL16" s="584"/>
      <c r="FM16" s="584"/>
      <c r="FN16" s="584"/>
      <c r="FO16" s="584"/>
      <c r="FP16" s="584"/>
      <c r="FQ16" s="584"/>
      <c r="FR16" s="584"/>
      <c r="FS16" s="584"/>
      <c r="FT16" s="584"/>
      <c r="FU16" s="584"/>
      <c r="FV16" s="584"/>
      <c r="FW16" s="584"/>
      <c r="FX16" s="584"/>
      <c r="FY16" s="584"/>
      <c r="FZ16" s="584"/>
      <c r="GA16" s="584"/>
      <c r="GB16" s="584"/>
      <c r="GC16" s="584"/>
      <c r="GD16" s="584"/>
      <c r="GE16" s="584"/>
      <c r="GF16" s="584"/>
      <c r="GG16" s="584"/>
      <c r="GH16" s="584"/>
      <c r="GI16" s="584"/>
      <c r="GJ16" s="584"/>
      <c r="GK16" s="584"/>
      <c r="GL16" s="584"/>
      <c r="GM16" s="584"/>
      <c r="GN16" s="584"/>
      <c r="GO16" s="584"/>
      <c r="GP16" s="584"/>
      <c r="GQ16" s="584"/>
      <c r="GR16" s="584"/>
      <c r="GS16" s="584"/>
      <c r="GT16" s="584"/>
      <c r="GU16" s="584"/>
      <c r="GV16" s="584"/>
      <c r="GW16" s="584"/>
      <c r="GX16" s="584"/>
      <c r="GY16" s="584"/>
      <c r="GZ16" s="584"/>
      <c r="HA16" s="584"/>
      <c r="HB16" s="584"/>
      <c r="HC16" s="584"/>
      <c r="HD16" s="584"/>
      <c r="HE16" s="584"/>
      <c r="HF16" s="584"/>
      <c r="HG16" s="584"/>
      <c r="HH16" s="584"/>
      <c r="HI16" s="584"/>
      <c r="HJ16" s="584"/>
      <c r="HK16" s="584"/>
      <c r="HL16" s="584"/>
      <c r="HM16" s="584"/>
      <c r="HN16" s="584"/>
      <c r="HO16" s="584"/>
      <c r="HP16" s="584"/>
      <c r="HQ16" s="584"/>
      <c r="HR16" s="584"/>
      <c r="HS16" s="584"/>
      <c r="HT16" s="584"/>
      <c r="HU16" s="584"/>
      <c r="HV16" s="584"/>
      <c r="HW16" s="584"/>
      <c r="HX16" s="584"/>
      <c r="HY16" s="584"/>
      <c r="HZ16" s="584"/>
      <c r="IA16" s="584"/>
      <c r="IB16" s="584"/>
      <c r="IC16" s="584"/>
      <c r="ID16" s="584"/>
      <c r="IE16" s="584"/>
      <c r="IF16" s="584"/>
      <c r="IG16" s="584"/>
      <c r="IH16" s="584"/>
      <c r="II16" s="584"/>
      <c r="IJ16" s="584"/>
      <c r="IK16" s="584"/>
      <c r="IL16" s="584"/>
      <c r="IM16" s="584"/>
      <c r="IN16" s="584"/>
      <c r="IO16" s="584"/>
      <c r="IP16" s="584"/>
      <c r="IQ16" s="584"/>
      <c r="IR16" s="584"/>
      <c r="IS16" s="584"/>
      <c r="IT16" s="584"/>
      <c r="IU16" s="584"/>
      <c r="IV16" s="584"/>
      <c r="IW16" s="584"/>
    </row>
    <row r="17" spans="2:257" ht="26.45" customHeight="1">
      <c r="B17" s="598"/>
      <c r="C17" s="594"/>
      <c r="D17" s="594"/>
      <c r="E17" s="594"/>
      <c r="F17" s="582"/>
      <c r="G17" s="582"/>
      <c r="H17" s="600"/>
      <c r="I17" s="591"/>
      <c r="J17" s="591"/>
      <c r="K17" s="591"/>
      <c r="L17" s="591"/>
      <c r="M17" s="591"/>
      <c r="N17" s="591"/>
      <c r="O17" s="583"/>
      <c r="P17" s="601"/>
      <c r="Q17" s="584"/>
      <c r="R17" s="584"/>
      <c r="S17" s="584"/>
      <c r="T17" s="584"/>
      <c r="U17" s="584"/>
      <c r="V17" s="584"/>
      <c r="W17" s="584"/>
      <c r="X17" s="584"/>
      <c r="Y17" s="584"/>
      <c r="Z17" s="584"/>
      <c r="AA17" s="584"/>
      <c r="AB17" s="584"/>
      <c r="AC17" s="584"/>
      <c r="AD17" s="584"/>
      <c r="AE17" s="584"/>
      <c r="AF17" s="584"/>
      <c r="AG17" s="584"/>
      <c r="AH17" s="584"/>
      <c r="AI17" s="584"/>
      <c r="AJ17" s="584"/>
      <c r="AK17" s="584"/>
      <c r="AL17" s="584"/>
      <c r="AM17" s="584"/>
      <c r="AN17" s="584"/>
      <c r="AO17" s="584"/>
      <c r="AP17" s="584"/>
      <c r="AQ17" s="584"/>
      <c r="AR17" s="584"/>
      <c r="AS17" s="584"/>
      <c r="AT17" s="584"/>
      <c r="AU17" s="584"/>
      <c r="AV17" s="584"/>
      <c r="AW17" s="584"/>
      <c r="AX17" s="584"/>
      <c r="AY17" s="584"/>
      <c r="AZ17" s="584"/>
      <c r="BA17" s="584"/>
      <c r="BB17" s="584"/>
      <c r="BC17" s="584"/>
      <c r="BD17" s="584"/>
      <c r="BE17" s="584"/>
      <c r="BF17" s="584"/>
      <c r="BG17" s="584"/>
      <c r="BH17" s="584"/>
      <c r="BI17" s="584"/>
      <c r="BJ17" s="584"/>
      <c r="BK17" s="584"/>
      <c r="BL17" s="584"/>
      <c r="BM17" s="584"/>
      <c r="BN17" s="584"/>
      <c r="BO17" s="584"/>
      <c r="BP17" s="584"/>
      <c r="BQ17" s="584"/>
      <c r="BR17" s="584"/>
      <c r="BS17" s="584"/>
      <c r="BT17" s="584"/>
      <c r="BU17" s="584"/>
      <c r="BV17" s="584"/>
      <c r="BW17" s="584"/>
      <c r="BX17" s="584"/>
      <c r="BY17" s="584"/>
      <c r="BZ17" s="584"/>
      <c r="CA17" s="584"/>
      <c r="CB17" s="584"/>
      <c r="CC17" s="584"/>
      <c r="CD17" s="584"/>
      <c r="CE17" s="584"/>
      <c r="CF17" s="584"/>
      <c r="CG17" s="584"/>
      <c r="CH17" s="584"/>
      <c r="CI17" s="584"/>
      <c r="CJ17" s="584"/>
      <c r="CK17" s="584"/>
      <c r="CL17" s="584"/>
      <c r="CM17" s="584"/>
      <c r="CN17" s="584"/>
      <c r="CO17" s="584"/>
      <c r="CP17" s="584"/>
      <c r="CQ17" s="584"/>
      <c r="CR17" s="584"/>
      <c r="CS17" s="584"/>
      <c r="CT17" s="584"/>
      <c r="CU17" s="584"/>
      <c r="CV17" s="584"/>
      <c r="CW17" s="584"/>
      <c r="CX17" s="584"/>
      <c r="CY17" s="584"/>
      <c r="CZ17" s="584"/>
      <c r="DA17" s="584"/>
      <c r="DB17" s="584"/>
      <c r="DC17" s="584"/>
      <c r="DD17" s="584"/>
      <c r="DE17" s="584"/>
      <c r="DF17" s="584"/>
      <c r="DG17" s="584"/>
      <c r="DH17" s="584"/>
      <c r="DI17" s="584"/>
      <c r="DJ17" s="584"/>
      <c r="DK17" s="584"/>
      <c r="DL17" s="584"/>
      <c r="DM17" s="584"/>
      <c r="DN17" s="584"/>
      <c r="DO17" s="584"/>
      <c r="DP17" s="584"/>
      <c r="DQ17" s="584"/>
      <c r="DR17" s="584"/>
      <c r="DS17" s="584"/>
      <c r="DT17" s="584"/>
      <c r="DU17" s="584"/>
      <c r="DV17" s="584"/>
      <c r="DW17" s="584"/>
      <c r="DX17" s="584"/>
      <c r="DY17" s="584"/>
      <c r="DZ17" s="584"/>
      <c r="EA17" s="584"/>
      <c r="EB17" s="584"/>
      <c r="EC17" s="584"/>
      <c r="ED17" s="584"/>
      <c r="EE17" s="584"/>
      <c r="EF17" s="584"/>
      <c r="EG17" s="584"/>
      <c r="EH17" s="584"/>
      <c r="EI17" s="584"/>
      <c r="EJ17" s="584"/>
      <c r="EK17" s="584"/>
      <c r="EL17" s="584"/>
      <c r="EM17" s="584"/>
      <c r="EN17" s="584"/>
      <c r="EO17" s="584"/>
      <c r="EP17" s="584"/>
      <c r="EQ17" s="584"/>
      <c r="ER17" s="584"/>
      <c r="ES17" s="584"/>
      <c r="ET17" s="584"/>
      <c r="EU17" s="584"/>
      <c r="EV17" s="584"/>
      <c r="EW17" s="584"/>
      <c r="EX17" s="584"/>
      <c r="EY17" s="584"/>
      <c r="EZ17" s="584"/>
      <c r="FA17" s="584"/>
      <c r="FB17" s="584"/>
      <c r="FC17" s="584"/>
      <c r="FD17" s="584"/>
      <c r="FE17" s="584"/>
      <c r="FF17" s="584"/>
      <c r="FG17" s="584"/>
      <c r="FH17" s="584"/>
      <c r="FI17" s="584"/>
      <c r="FJ17" s="584"/>
      <c r="FK17" s="584"/>
      <c r="FL17" s="584"/>
      <c r="FM17" s="584"/>
      <c r="FN17" s="584"/>
      <c r="FO17" s="584"/>
      <c r="FP17" s="584"/>
      <c r="FQ17" s="584"/>
      <c r="FR17" s="584"/>
      <c r="FS17" s="584"/>
      <c r="FT17" s="584"/>
      <c r="FU17" s="584"/>
      <c r="FV17" s="584"/>
      <c r="FW17" s="584"/>
      <c r="FX17" s="584"/>
      <c r="FY17" s="584"/>
      <c r="FZ17" s="584"/>
      <c r="GA17" s="584"/>
      <c r="GB17" s="584"/>
      <c r="GC17" s="584"/>
      <c r="GD17" s="584"/>
      <c r="GE17" s="584"/>
      <c r="GF17" s="584"/>
      <c r="GG17" s="584"/>
      <c r="GH17" s="584"/>
      <c r="GI17" s="584"/>
      <c r="GJ17" s="584"/>
      <c r="GK17" s="584"/>
      <c r="GL17" s="584"/>
      <c r="GM17" s="584"/>
      <c r="GN17" s="584"/>
      <c r="GO17" s="584"/>
      <c r="GP17" s="584"/>
      <c r="GQ17" s="584"/>
      <c r="GR17" s="584"/>
      <c r="GS17" s="584"/>
      <c r="GT17" s="584"/>
      <c r="GU17" s="584"/>
      <c r="GV17" s="584"/>
      <c r="GW17" s="584"/>
      <c r="GX17" s="584"/>
      <c r="GY17" s="584"/>
      <c r="GZ17" s="584"/>
      <c r="HA17" s="584"/>
      <c r="HB17" s="584"/>
      <c r="HC17" s="584"/>
      <c r="HD17" s="584"/>
      <c r="HE17" s="584"/>
      <c r="HF17" s="584"/>
      <c r="HG17" s="584"/>
      <c r="HH17" s="584"/>
      <c r="HI17" s="584"/>
      <c r="HJ17" s="584"/>
      <c r="HK17" s="584"/>
      <c r="HL17" s="584"/>
      <c r="HM17" s="584"/>
      <c r="HN17" s="584"/>
      <c r="HO17" s="584"/>
      <c r="HP17" s="584"/>
      <c r="HQ17" s="584"/>
      <c r="HR17" s="584"/>
      <c r="HS17" s="584"/>
      <c r="HT17" s="584"/>
      <c r="HU17" s="584"/>
      <c r="HV17" s="584"/>
      <c r="HW17" s="584"/>
      <c r="HX17" s="584"/>
      <c r="HY17" s="584"/>
      <c r="HZ17" s="584"/>
      <c r="IA17" s="584"/>
      <c r="IB17" s="584"/>
      <c r="IC17" s="584"/>
      <c r="ID17" s="584"/>
      <c r="IE17" s="584"/>
      <c r="IF17" s="584"/>
      <c r="IG17" s="584"/>
      <c r="IH17" s="584"/>
      <c r="II17" s="584"/>
      <c r="IJ17" s="584"/>
      <c r="IK17" s="584"/>
      <c r="IL17" s="584"/>
      <c r="IM17" s="584"/>
      <c r="IN17" s="584"/>
      <c r="IO17" s="584"/>
      <c r="IP17" s="584"/>
      <c r="IQ17" s="584"/>
      <c r="IR17" s="584"/>
      <c r="IS17" s="584"/>
      <c r="IT17" s="584"/>
      <c r="IU17" s="584"/>
      <c r="IV17" s="584"/>
      <c r="IW17" s="584"/>
    </row>
    <row r="18" spans="2:257" ht="14.45" customHeight="1">
      <c r="B18" s="584"/>
      <c r="C18" s="594"/>
      <c r="D18" s="594"/>
      <c r="E18" s="594"/>
      <c r="F18" s="584"/>
      <c r="G18" s="584"/>
      <c r="H18" s="584"/>
      <c r="I18" s="584"/>
      <c r="J18" s="584"/>
      <c r="K18" s="584"/>
      <c r="L18" s="584"/>
      <c r="M18" s="584"/>
      <c r="N18" s="584"/>
      <c r="O18" s="584"/>
      <c r="P18" s="584"/>
      <c r="Q18" s="584"/>
      <c r="R18" s="584"/>
      <c r="S18" s="584"/>
      <c r="T18" s="584"/>
      <c r="U18" s="584"/>
      <c r="V18" s="584"/>
      <c r="W18" s="584"/>
      <c r="X18" s="584"/>
      <c r="Y18" s="584"/>
      <c r="Z18" s="584"/>
      <c r="AA18" s="584"/>
      <c r="AB18" s="584"/>
      <c r="AC18" s="584"/>
      <c r="AD18" s="584"/>
      <c r="AE18" s="584"/>
      <c r="AF18" s="584"/>
      <c r="AG18" s="584"/>
      <c r="AH18" s="584"/>
      <c r="AI18" s="584"/>
      <c r="AJ18" s="584"/>
      <c r="AK18" s="584"/>
      <c r="AL18" s="584"/>
      <c r="AM18" s="584"/>
      <c r="AN18" s="584"/>
      <c r="AO18" s="584"/>
      <c r="AP18" s="584"/>
      <c r="AQ18" s="584"/>
      <c r="AR18" s="584"/>
      <c r="AS18" s="584"/>
      <c r="AT18" s="584"/>
      <c r="AU18" s="584"/>
      <c r="AV18" s="584"/>
      <c r="AW18" s="584"/>
      <c r="AX18" s="584"/>
      <c r="AY18" s="584"/>
      <c r="AZ18" s="584"/>
      <c r="BA18" s="584"/>
      <c r="BB18" s="584"/>
      <c r="BC18" s="584"/>
      <c r="BD18" s="584"/>
      <c r="BE18" s="584"/>
      <c r="BF18" s="584"/>
      <c r="BG18" s="584"/>
      <c r="BH18" s="584"/>
      <c r="BI18" s="584"/>
      <c r="BJ18" s="584"/>
      <c r="BK18" s="584"/>
      <c r="BL18" s="584"/>
      <c r="BM18" s="584"/>
      <c r="BN18" s="584"/>
      <c r="BO18" s="584"/>
      <c r="BP18" s="584"/>
      <c r="BQ18" s="584"/>
      <c r="BR18" s="584"/>
      <c r="BS18" s="584"/>
      <c r="BT18" s="584"/>
      <c r="BU18" s="584"/>
      <c r="BV18" s="584"/>
      <c r="BW18" s="584"/>
      <c r="BX18" s="584"/>
      <c r="BY18" s="584"/>
      <c r="BZ18" s="584"/>
      <c r="CA18" s="584"/>
      <c r="CB18" s="584"/>
      <c r="CC18" s="584"/>
      <c r="CD18" s="584"/>
      <c r="CE18" s="584"/>
      <c r="CF18" s="584"/>
      <c r="CG18" s="584"/>
      <c r="CH18" s="584"/>
      <c r="CI18" s="584"/>
      <c r="CJ18" s="584"/>
      <c r="CK18" s="584"/>
      <c r="CL18" s="584"/>
      <c r="CM18" s="584"/>
      <c r="CN18" s="584"/>
      <c r="CO18" s="584"/>
      <c r="CP18" s="584"/>
      <c r="CQ18" s="584"/>
      <c r="CR18" s="584"/>
      <c r="CS18" s="584"/>
      <c r="CT18" s="584"/>
      <c r="CU18" s="584"/>
      <c r="CV18" s="584"/>
      <c r="CW18" s="584"/>
      <c r="CX18" s="584"/>
      <c r="CY18" s="584"/>
      <c r="CZ18" s="584"/>
      <c r="DA18" s="584"/>
      <c r="DB18" s="584"/>
      <c r="DC18" s="584"/>
      <c r="DD18" s="584"/>
      <c r="DE18" s="584"/>
      <c r="DF18" s="584"/>
      <c r="DG18" s="584"/>
      <c r="DH18" s="584"/>
      <c r="DI18" s="584"/>
      <c r="DJ18" s="584"/>
      <c r="DK18" s="584"/>
      <c r="DL18" s="584"/>
      <c r="DM18" s="584"/>
      <c r="DN18" s="584"/>
      <c r="DO18" s="584"/>
      <c r="DP18" s="584"/>
      <c r="DQ18" s="584"/>
      <c r="DR18" s="584"/>
      <c r="DS18" s="584"/>
      <c r="DT18" s="584"/>
      <c r="DU18" s="584"/>
      <c r="DV18" s="584"/>
      <c r="DW18" s="584"/>
      <c r="DX18" s="584"/>
      <c r="DY18" s="584"/>
      <c r="DZ18" s="584"/>
      <c r="EA18" s="584"/>
      <c r="EB18" s="584"/>
      <c r="EC18" s="584"/>
      <c r="ED18" s="584"/>
      <c r="EE18" s="584"/>
      <c r="EF18" s="584"/>
      <c r="EG18" s="584"/>
      <c r="EH18" s="584"/>
      <c r="EI18" s="584"/>
      <c r="EJ18" s="584"/>
      <c r="EK18" s="584"/>
      <c r="EL18" s="584"/>
      <c r="EM18" s="584"/>
      <c r="EN18" s="584"/>
      <c r="EO18" s="584"/>
      <c r="EP18" s="584"/>
      <c r="EQ18" s="584"/>
      <c r="ER18" s="584"/>
      <c r="ES18" s="584"/>
      <c r="ET18" s="584"/>
      <c r="EU18" s="584"/>
      <c r="EV18" s="584"/>
      <c r="EW18" s="584"/>
      <c r="EX18" s="584"/>
      <c r="EY18" s="584"/>
      <c r="EZ18" s="584"/>
      <c r="FA18" s="584"/>
      <c r="FB18" s="584"/>
      <c r="FC18" s="584"/>
      <c r="FD18" s="584"/>
      <c r="FE18" s="584"/>
      <c r="FF18" s="584"/>
      <c r="FG18" s="584"/>
      <c r="FH18" s="584"/>
      <c r="FI18" s="584"/>
      <c r="FJ18" s="584"/>
      <c r="FK18" s="584"/>
      <c r="FL18" s="584"/>
      <c r="FM18" s="584"/>
      <c r="FN18" s="584"/>
      <c r="FO18" s="584"/>
      <c r="FP18" s="584"/>
      <c r="FQ18" s="584"/>
      <c r="FR18" s="584"/>
      <c r="FS18" s="584"/>
      <c r="FT18" s="584"/>
      <c r="FU18" s="584"/>
      <c r="FV18" s="584"/>
      <c r="FW18" s="584"/>
      <c r="FX18" s="584"/>
      <c r="FY18" s="584"/>
      <c r="FZ18" s="584"/>
      <c r="GA18" s="584"/>
      <c r="GB18" s="584"/>
      <c r="GC18" s="584"/>
      <c r="GD18" s="584"/>
      <c r="GE18" s="584"/>
      <c r="GF18" s="584"/>
      <c r="GG18" s="584"/>
      <c r="GH18" s="584"/>
      <c r="GI18" s="584"/>
      <c r="GJ18" s="584"/>
      <c r="GK18" s="584"/>
      <c r="GL18" s="584"/>
      <c r="GM18" s="584"/>
      <c r="GN18" s="584"/>
      <c r="GO18" s="584"/>
      <c r="GP18" s="584"/>
      <c r="GQ18" s="584"/>
      <c r="GR18" s="584"/>
      <c r="GS18" s="584"/>
      <c r="GT18" s="584"/>
      <c r="GU18" s="584"/>
      <c r="GV18" s="584"/>
      <c r="GW18" s="584"/>
      <c r="GX18" s="584"/>
      <c r="GY18" s="584"/>
      <c r="GZ18" s="584"/>
      <c r="HA18" s="584"/>
      <c r="HB18" s="584"/>
      <c r="HC18" s="584"/>
      <c r="HD18" s="584"/>
      <c r="HE18" s="584"/>
      <c r="HF18" s="584"/>
      <c r="HG18" s="584"/>
      <c r="HH18" s="584"/>
      <c r="HI18" s="584"/>
      <c r="HJ18" s="584"/>
      <c r="HK18" s="584"/>
      <c r="HL18" s="584"/>
      <c r="HM18" s="584"/>
      <c r="HN18" s="584"/>
      <c r="HO18" s="584"/>
      <c r="HP18" s="584"/>
      <c r="HQ18" s="584"/>
      <c r="HR18" s="584"/>
      <c r="HS18" s="584"/>
      <c r="HT18" s="584"/>
      <c r="HU18" s="584"/>
      <c r="HV18" s="584"/>
      <c r="HW18" s="584"/>
      <c r="HX18" s="584"/>
      <c r="HY18" s="584"/>
      <c r="HZ18" s="584"/>
      <c r="IA18" s="584"/>
      <c r="IB18" s="584"/>
      <c r="IC18" s="584"/>
      <c r="ID18" s="584"/>
      <c r="IE18" s="584"/>
      <c r="IF18" s="584"/>
      <c r="IG18" s="584"/>
      <c r="IH18" s="584"/>
      <c r="II18" s="584"/>
      <c r="IJ18" s="584"/>
      <c r="IK18" s="584"/>
      <c r="IL18" s="584"/>
      <c r="IM18" s="584"/>
      <c r="IN18" s="584"/>
      <c r="IO18" s="584"/>
      <c r="IP18" s="584"/>
      <c r="IQ18" s="584"/>
      <c r="IR18" s="584"/>
      <c r="IS18" s="584"/>
      <c r="IT18" s="584"/>
      <c r="IU18" s="584"/>
      <c r="IV18" s="584"/>
      <c r="IW18" s="584"/>
    </row>
    <row r="19" spans="2:257" ht="14.45" customHeight="1">
      <c r="B19" s="580"/>
      <c r="C19" s="580"/>
      <c r="D19" s="580"/>
      <c r="E19" s="580"/>
      <c r="F19" s="580"/>
      <c r="G19" s="580"/>
      <c r="H19" s="580"/>
      <c r="I19" s="580"/>
      <c r="J19" s="580"/>
      <c r="K19" s="580"/>
      <c r="L19" s="580"/>
      <c r="M19" s="580"/>
      <c r="N19" s="580"/>
      <c r="O19" s="580"/>
      <c r="P19" s="580"/>
      <c r="Q19" s="580"/>
      <c r="R19" s="580"/>
      <c r="S19" s="580"/>
      <c r="T19" s="580"/>
      <c r="U19" s="580"/>
      <c r="V19" s="580"/>
      <c r="W19" s="580"/>
      <c r="X19" s="580"/>
      <c r="Y19" s="580"/>
      <c r="Z19" s="580"/>
      <c r="AA19" s="580"/>
      <c r="AB19" s="580"/>
      <c r="AC19" s="580"/>
      <c r="AD19" s="580"/>
      <c r="AE19" s="580"/>
      <c r="AF19" s="580"/>
      <c r="AG19" s="580"/>
      <c r="AH19" s="580"/>
      <c r="AI19" s="580"/>
      <c r="AJ19" s="580"/>
      <c r="AK19" s="580"/>
      <c r="AL19" s="580"/>
      <c r="AM19" s="580"/>
      <c r="AN19" s="580"/>
      <c r="AO19" s="580"/>
      <c r="AP19" s="580"/>
      <c r="AQ19" s="580"/>
      <c r="AR19" s="580"/>
      <c r="AS19" s="580"/>
      <c r="AT19" s="580"/>
      <c r="AU19" s="580"/>
      <c r="AV19" s="580"/>
      <c r="AW19" s="580"/>
      <c r="AX19" s="580"/>
      <c r="AY19" s="580"/>
      <c r="AZ19" s="580"/>
      <c r="BA19" s="580"/>
      <c r="BB19" s="580"/>
      <c r="BC19" s="580"/>
      <c r="BD19" s="580"/>
      <c r="BE19" s="580"/>
      <c r="BF19" s="580"/>
      <c r="BG19" s="580"/>
      <c r="BH19" s="580"/>
      <c r="BI19" s="580"/>
      <c r="BJ19" s="580"/>
      <c r="BK19" s="580"/>
      <c r="BL19" s="580"/>
      <c r="BM19" s="580"/>
      <c r="BN19" s="580"/>
      <c r="BO19" s="580"/>
      <c r="BP19" s="580"/>
      <c r="BQ19" s="580"/>
      <c r="BR19" s="580"/>
      <c r="BS19" s="580"/>
      <c r="BT19" s="580"/>
      <c r="BU19" s="580"/>
      <c r="BV19" s="580"/>
      <c r="BW19" s="580"/>
      <c r="BX19" s="580"/>
      <c r="BY19" s="580"/>
      <c r="BZ19" s="580"/>
      <c r="CA19" s="580"/>
      <c r="CB19" s="580"/>
      <c r="CC19" s="580"/>
      <c r="CD19" s="580"/>
      <c r="CE19" s="580"/>
      <c r="CF19" s="580"/>
      <c r="CG19" s="580"/>
      <c r="CH19" s="580"/>
      <c r="CI19" s="580"/>
      <c r="CJ19" s="580"/>
      <c r="CK19" s="580"/>
      <c r="CL19" s="580"/>
      <c r="CM19" s="580"/>
      <c r="CN19" s="580"/>
      <c r="CO19" s="580"/>
      <c r="CP19" s="580"/>
      <c r="CQ19" s="580"/>
      <c r="CR19" s="580"/>
      <c r="CS19" s="580"/>
      <c r="CT19" s="580"/>
      <c r="CU19" s="580"/>
      <c r="CV19" s="580"/>
      <c r="CW19" s="580"/>
      <c r="CX19" s="580"/>
      <c r="CY19" s="580"/>
      <c r="CZ19" s="580"/>
      <c r="DA19" s="580"/>
      <c r="DB19" s="580"/>
      <c r="DC19" s="580"/>
      <c r="DD19" s="580"/>
      <c r="DE19" s="580"/>
      <c r="DF19" s="580"/>
      <c r="DG19" s="580"/>
      <c r="DH19" s="580"/>
      <c r="DI19" s="580"/>
      <c r="DJ19" s="580"/>
      <c r="DK19" s="580"/>
      <c r="DL19" s="580"/>
      <c r="DM19" s="580"/>
      <c r="DN19" s="580"/>
      <c r="DO19" s="580"/>
      <c r="DP19" s="580"/>
      <c r="DQ19" s="580"/>
      <c r="DR19" s="580"/>
      <c r="DS19" s="580"/>
      <c r="DT19" s="580"/>
      <c r="DU19" s="580"/>
      <c r="DV19" s="580"/>
      <c r="DW19" s="580"/>
      <c r="DX19" s="580"/>
      <c r="DY19" s="580"/>
      <c r="DZ19" s="580"/>
      <c r="EA19" s="580"/>
      <c r="EB19" s="580"/>
      <c r="EC19" s="580"/>
      <c r="ED19" s="580"/>
      <c r="EE19" s="580"/>
      <c r="EF19" s="580"/>
      <c r="EG19" s="580"/>
      <c r="EH19" s="580"/>
      <c r="EI19" s="580"/>
      <c r="EJ19" s="580"/>
      <c r="EK19" s="580"/>
      <c r="EL19" s="580"/>
      <c r="EM19" s="580"/>
      <c r="EN19" s="580"/>
      <c r="EO19" s="580"/>
      <c r="EP19" s="580"/>
      <c r="EQ19" s="580"/>
      <c r="ER19" s="580"/>
      <c r="ES19" s="580"/>
      <c r="ET19" s="580"/>
      <c r="EU19" s="580"/>
      <c r="EV19" s="580"/>
      <c r="EW19" s="580"/>
      <c r="EX19" s="580"/>
      <c r="EY19" s="580"/>
      <c r="EZ19" s="580"/>
      <c r="FA19" s="580"/>
      <c r="FB19" s="580"/>
      <c r="FC19" s="580"/>
      <c r="FD19" s="580"/>
      <c r="FE19" s="580"/>
      <c r="FF19" s="580"/>
      <c r="FG19" s="580"/>
      <c r="FH19" s="580"/>
      <c r="FI19" s="580"/>
      <c r="FJ19" s="580"/>
      <c r="FK19" s="580"/>
      <c r="FL19" s="580"/>
      <c r="FM19" s="580"/>
      <c r="FN19" s="580"/>
      <c r="FO19" s="580"/>
      <c r="FP19" s="580"/>
      <c r="FQ19" s="580"/>
      <c r="FR19" s="580"/>
      <c r="FS19" s="580"/>
      <c r="FT19" s="580"/>
      <c r="FU19" s="580"/>
      <c r="FV19" s="580"/>
      <c r="FW19" s="580"/>
      <c r="FX19" s="580"/>
      <c r="FY19" s="580"/>
      <c r="FZ19" s="580"/>
      <c r="GA19" s="580"/>
      <c r="GB19" s="580"/>
      <c r="GC19" s="580"/>
      <c r="GD19" s="580"/>
      <c r="GE19" s="580"/>
      <c r="GF19" s="580"/>
      <c r="GG19" s="580"/>
      <c r="GH19" s="580"/>
      <c r="GI19" s="580"/>
      <c r="GJ19" s="580"/>
      <c r="GK19" s="580"/>
      <c r="GL19" s="580"/>
      <c r="GM19" s="580"/>
      <c r="GN19" s="580"/>
      <c r="GO19" s="580"/>
      <c r="GP19" s="580"/>
      <c r="GQ19" s="580"/>
      <c r="GR19" s="580"/>
      <c r="GS19" s="580"/>
      <c r="GT19" s="580"/>
      <c r="GU19" s="580"/>
      <c r="GV19" s="580"/>
      <c r="GW19" s="580"/>
      <c r="GX19" s="580"/>
      <c r="GY19" s="580"/>
      <c r="GZ19" s="580"/>
      <c r="HA19" s="580"/>
      <c r="HB19" s="580"/>
      <c r="HC19" s="580"/>
      <c r="HD19" s="580"/>
      <c r="HE19" s="580"/>
      <c r="HF19" s="580"/>
      <c r="HG19" s="580"/>
      <c r="HH19" s="580"/>
      <c r="HI19" s="580"/>
      <c r="HJ19" s="580"/>
      <c r="HK19" s="580"/>
      <c r="HL19" s="580"/>
      <c r="HM19" s="580"/>
      <c r="HN19" s="580"/>
      <c r="HO19" s="580"/>
      <c r="HP19" s="580"/>
      <c r="HQ19" s="580"/>
      <c r="HR19" s="580"/>
      <c r="HS19" s="580"/>
      <c r="HT19" s="580"/>
      <c r="HU19" s="580"/>
      <c r="HV19" s="580"/>
      <c r="HW19" s="580"/>
      <c r="HX19" s="580"/>
      <c r="HY19" s="580"/>
      <c r="HZ19" s="580"/>
      <c r="IA19" s="580"/>
      <c r="IB19" s="580"/>
      <c r="IC19" s="580"/>
      <c r="ID19" s="580"/>
      <c r="IE19" s="580"/>
      <c r="IF19" s="580"/>
      <c r="IG19" s="580"/>
      <c r="IH19" s="580"/>
      <c r="II19" s="580"/>
      <c r="IJ19" s="580"/>
      <c r="IK19" s="580"/>
      <c r="IL19" s="580"/>
      <c r="IM19" s="580"/>
      <c r="IN19" s="580"/>
      <c r="IO19" s="580"/>
      <c r="IP19" s="580"/>
      <c r="IQ19" s="580"/>
      <c r="IR19" s="580"/>
      <c r="IS19" s="580"/>
      <c r="IT19" s="580"/>
      <c r="IU19" s="580"/>
      <c r="IV19" s="580"/>
      <c r="IW19" s="580"/>
    </row>
    <row r="20" spans="2:257" ht="14.45" customHeight="1">
      <c r="B20" s="584"/>
      <c r="C20" s="594"/>
      <c r="D20" s="594"/>
      <c r="E20" s="594"/>
      <c r="F20" s="584"/>
      <c r="G20" s="584"/>
      <c r="H20" s="584"/>
      <c r="I20" s="584"/>
      <c r="J20" s="584"/>
      <c r="K20" s="584"/>
      <c r="L20" s="584"/>
      <c r="M20" s="584"/>
      <c r="N20" s="584"/>
      <c r="O20" s="584"/>
      <c r="P20" s="584"/>
      <c r="Q20" s="584"/>
      <c r="R20" s="584"/>
      <c r="S20" s="584"/>
      <c r="T20" s="584"/>
      <c r="U20" s="584"/>
      <c r="V20" s="584"/>
      <c r="W20" s="584"/>
      <c r="X20" s="584"/>
      <c r="Y20" s="584"/>
      <c r="Z20" s="584"/>
      <c r="AA20" s="584"/>
      <c r="AB20" s="584"/>
      <c r="AC20" s="584"/>
      <c r="AD20" s="584"/>
      <c r="AE20" s="584"/>
      <c r="AF20" s="584"/>
      <c r="AG20" s="584"/>
      <c r="AH20" s="584"/>
      <c r="AI20" s="584"/>
      <c r="AJ20" s="584"/>
      <c r="AK20" s="584"/>
      <c r="AL20" s="584"/>
      <c r="AM20" s="584"/>
      <c r="AN20" s="584"/>
      <c r="AO20" s="584"/>
      <c r="AP20" s="584"/>
      <c r="AQ20" s="584"/>
      <c r="AR20" s="584"/>
      <c r="AS20" s="584"/>
      <c r="AT20" s="584"/>
      <c r="AU20" s="584"/>
      <c r="AV20" s="584"/>
      <c r="AW20" s="584"/>
      <c r="AX20" s="584"/>
      <c r="AY20" s="584"/>
      <c r="AZ20" s="584"/>
      <c r="BA20" s="584"/>
      <c r="BB20" s="584"/>
      <c r="BC20" s="584"/>
      <c r="BD20" s="584"/>
      <c r="BE20" s="584"/>
      <c r="BF20" s="584"/>
      <c r="BG20" s="584"/>
      <c r="BH20" s="584"/>
      <c r="BI20" s="584"/>
      <c r="BJ20" s="584"/>
      <c r="BK20" s="584"/>
      <c r="BL20" s="584"/>
      <c r="BM20" s="584"/>
      <c r="BN20" s="584"/>
      <c r="BO20" s="584"/>
      <c r="BP20" s="584"/>
      <c r="BQ20" s="584"/>
      <c r="BR20" s="584"/>
      <c r="BS20" s="584"/>
      <c r="BT20" s="584"/>
      <c r="BU20" s="584"/>
      <c r="BV20" s="584"/>
      <c r="BW20" s="584"/>
      <c r="BX20" s="584"/>
      <c r="BY20" s="584"/>
      <c r="BZ20" s="584"/>
      <c r="CA20" s="584"/>
      <c r="CB20" s="584"/>
      <c r="CC20" s="584"/>
      <c r="CD20" s="584"/>
      <c r="CE20" s="584"/>
      <c r="CF20" s="584"/>
      <c r="CG20" s="584"/>
      <c r="CH20" s="584"/>
      <c r="CI20" s="584"/>
      <c r="CJ20" s="584"/>
      <c r="CK20" s="584"/>
      <c r="CL20" s="584"/>
      <c r="CM20" s="584"/>
      <c r="CN20" s="584"/>
      <c r="CO20" s="584"/>
      <c r="CP20" s="584"/>
      <c r="CQ20" s="584"/>
      <c r="CR20" s="584"/>
      <c r="CS20" s="584"/>
      <c r="CT20" s="584"/>
      <c r="CU20" s="584"/>
      <c r="CV20" s="584"/>
      <c r="CW20" s="584"/>
      <c r="CX20" s="584"/>
      <c r="CY20" s="584"/>
      <c r="CZ20" s="584"/>
      <c r="DA20" s="584"/>
      <c r="DB20" s="584"/>
      <c r="DC20" s="584"/>
      <c r="DD20" s="584"/>
      <c r="DE20" s="584"/>
      <c r="DF20" s="584"/>
      <c r="DG20" s="584"/>
      <c r="DH20" s="584"/>
      <c r="DI20" s="584"/>
      <c r="DJ20" s="584"/>
      <c r="DK20" s="584"/>
      <c r="DL20" s="584"/>
      <c r="DM20" s="584"/>
      <c r="DN20" s="584"/>
      <c r="DO20" s="584"/>
      <c r="DP20" s="584"/>
      <c r="DQ20" s="584"/>
      <c r="DR20" s="584"/>
      <c r="DS20" s="584"/>
      <c r="DT20" s="584"/>
      <c r="DU20" s="584"/>
      <c r="DV20" s="584"/>
      <c r="DW20" s="584"/>
      <c r="DX20" s="584"/>
      <c r="DY20" s="584"/>
      <c r="DZ20" s="584"/>
      <c r="EA20" s="584"/>
      <c r="EB20" s="584"/>
      <c r="EC20" s="584"/>
      <c r="ED20" s="584"/>
      <c r="EE20" s="584"/>
      <c r="EF20" s="584"/>
      <c r="EG20" s="584"/>
      <c r="EH20" s="584"/>
      <c r="EI20" s="584"/>
      <c r="EJ20" s="584"/>
      <c r="EK20" s="584"/>
      <c r="EL20" s="584"/>
      <c r="EM20" s="584"/>
      <c r="EN20" s="584"/>
      <c r="EO20" s="584"/>
      <c r="EP20" s="584"/>
      <c r="EQ20" s="584"/>
      <c r="ER20" s="584"/>
      <c r="ES20" s="584"/>
      <c r="ET20" s="584"/>
      <c r="EU20" s="584"/>
      <c r="EV20" s="584"/>
      <c r="EW20" s="584"/>
      <c r="EX20" s="584"/>
      <c r="EY20" s="584"/>
      <c r="EZ20" s="584"/>
      <c r="FA20" s="584"/>
      <c r="FB20" s="584"/>
      <c r="FC20" s="584"/>
      <c r="FD20" s="584"/>
      <c r="FE20" s="584"/>
      <c r="FF20" s="584"/>
      <c r="FG20" s="584"/>
      <c r="FH20" s="584"/>
      <c r="FI20" s="584"/>
      <c r="FJ20" s="584"/>
      <c r="FK20" s="584"/>
      <c r="FL20" s="584"/>
      <c r="FM20" s="584"/>
      <c r="FN20" s="584"/>
      <c r="FO20" s="584"/>
      <c r="FP20" s="584"/>
      <c r="FQ20" s="584"/>
      <c r="FR20" s="584"/>
      <c r="FS20" s="584"/>
      <c r="FT20" s="584"/>
      <c r="FU20" s="584"/>
      <c r="FV20" s="584"/>
      <c r="FW20" s="584"/>
      <c r="FX20" s="584"/>
      <c r="FY20" s="584"/>
      <c r="FZ20" s="584"/>
      <c r="GA20" s="584"/>
      <c r="GB20" s="584"/>
      <c r="GC20" s="584"/>
      <c r="GD20" s="584"/>
      <c r="GE20" s="584"/>
      <c r="GF20" s="584"/>
      <c r="GG20" s="584"/>
      <c r="GH20" s="584"/>
      <c r="GI20" s="584"/>
      <c r="GJ20" s="584"/>
      <c r="GK20" s="584"/>
      <c r="GL20" s="584"/>
      <c r="GM20" s="584"/>
      <c r="GN20" s="584"/>
      <c r="GO20" s="584"/>
      <c r="GP20" s="584"/>
      <c r="GQ20" s="584"/>
      <c r="GR20" s="584"/>
      <c r="GS20" s="584"/>
      <c r="GT20" s="584"/>
      <c r="GU20" s="584"/>
      <c r="GV20" s="584"/>
      <c r="GW20" s="584"/>
      <c r="GX20" s="584"/>
      <c r="GY20" s="584"/>
      <c r="GZ20" s="584"/>
      <c r="HA20" s="584"/>
      <c r="HB20" s="584"/>
      <c r="HC20" s="584"/>
      <c r="HD20" s="584"/>
      <c r="HE20" s="584"/>
      <c r="HF20" s="584"/>
      <c r="HG20" s="584"/>
      <c r="HH20" s="584"/>
      <c r="HI20" s="584"/>
      <c r="HJ20" s="584"/>
      <c r="HK20" s="584"/>
      <c r="HL20" s="584"/>
      <c r="HM20" s="584"/>
      <c r="HN20" s="584"/>
      <c r="HO20" s="584"/>
      <c r="HP20" s="584"/>
      <c r="HQ20" s="584"/>
      <c r="HR20" s="584"/>
      <c r="HS20" s="584"/>
      <c r="HT20" s="584"/>
      <c r="HU20" s="584"/>
      <c r="HV20" s="584"/>
      <c r="HW20" s="584"/>
      <c r="HX20" s="584"/>
      <c r="HY20" s="584"/>
      <c r="HZ20" s="584"/>
      <c r="IA20" s="584"/>
      <c r="IB20" s="584"/>
      <c r="IC20" s="584"/>
      <c r="ID20" s="584"/>
      <c r="IE20" s="584"/>
      <c r="IF20" s="584"/>
      <c r="IG20" s="584"/>
      <c r="IH20" s="584"/>
      <c r="II20" s="584"/>
      <c r="IJ20" s="584"/>
      <c r="IK20" s="584"/>
      <c r="IL20" s="584"/>
      <c r="IM20" s="584"/>
      <c r="IN20" s="584"/>
      <c r="IO20" s="584"/>
      <c r="IP20" s="584"/>
      <c r="IQ20" s="584"/>
      <c r="IR20" s="584"/>
      <c r="IS20" s="584"/>
      <c r="IT20" s="584"/>
      <c r="IU20" s="584"/>
      <c r="IV20" s="584"/>
      <c r="IW20" s="584"/>
    </row>
    <row r="21" spans="2:257" ht="14.45" customHeight="1">
      <c r="B21" s="580"/>
      <c r="C21" s="580"/>
      <c r="D21" s="580"/>
      <c r="E21" s="602"/>
      <c r="F21" s="602"/>
      <c r="G21" s="602"/>
      <c r="H21" s="580"/>
      <c r="I21" s="580"/>
      <c r="J21" s="580"/>
      <c r="K21" s="580"/>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U21" s="580"/>
      <c r="AV21" s="580"/>
      <c r="AW21" s="580"/>
      <c r="AX21" s="580"/>
      <c r="AY21" s="580"/>
      <c r="AZ21" s="580"/>
      <c r="BA21" s="580"/>
      <c r="BB21" s="580"/>
      <c r="BC21" s="580"/>
      <c r="BD21" s="580"/>
      <c r="BE21" s="580"/>
      <c r="BF21" s="580"/>
      <c r="BG21" s="580"/>
      <c r="BH21" s="580"/>
      <c r="BI21" s="580"/>
      <c r="BJ21" s="580"/>
      <c r="BK21" s="580"/>
      <c r="BL21" s="580"/>
      <c r="BM21" s="580"/>
      <c r="BN21" s="580"/>
      <c r="BO21" s="580"/>
      <c r="BP21" s="580"/>
      <c r="BQ21" s="580"/>
      <c r="BR21" s="580"/>
      <c r="BS21" s="580"/>
      <c r="BT21" s="580"/>
      <c r="BU21" s="580"/>
      <c r="BV21" s="580"/>
      <c r="BW21" s="580"/>
      <c r="BX21" s="580"/>
      <c r="BY21" s="580"/>
      <c r="BZ21" s="580"/>
      <c r="CA21" s="580"/>
      <c r="CB21" s="580"/>
      <c r="CC21" s="580"/>
      <c r="CD21" s="580"/>
      <c r="CE21" s="580"/>
      <c r="CF21" s="580"/>
      <c r="CG21" s="580"/>
      <c r="CH21" s="580"/>
      <c r="CI21" s="580"/>
      <c r="CJ21" s="580"/>
      <c r="CK21" s="580"/>
      <c r="CL21" s="580"/>
      <c r="CM21" s="580"/>
      <c r="CN21" s="580"/>
      <c r="CO21" s="580"/>
      <c r="CP21" s="580"/>
      <c r="CQ21" s="580"/>
      <c r="CR21" s="580"/>
      <c r="CS21" s="580"/>
      <c r="CT21" s="580"/>
      <c r="CU21" s="580"/>
      <c r="CV21" s="580"/>
      <c r="CW21" s="580"/>
      <c r="CX21" s="580"/>
      <c r="CY21" s="580"/>
      <c r="CZ21" s="580"/>
      <c r="DA21" s="580"/>
      <c r="DB21" s="580"/>
      <c r="DC21" s="580"/>
      <c r="DD21" s="580"/>
      <c r="DE21" s="580"/>
      <c r="DF21" s="580"/>
      <c r="DG21" s="580"/>
      <c r="DH21" s="580"/>
      <c r="DI21" s="580"/>
      <c r="DJ21" s="580"/>
      <c r="DK21" s="580"/>
      <c r="DL21" s="580"/>
      <c r="DM21" s="580"/>
      <c r="DN21" s="580"/>
      <c r="DO21" s="580"/>
      <c r="DP21" s="580"/>
      <c r="DQ21" s="580"/>
      <c r="DR21" s="580"/>
      <c r="DS21" s="580"/>
      <c r="DT21" s="580"/>
      <c r="DU21" s="580"/>
      <c r="DV21" s="580"/>
      <c r="DW21" s="580"/>
      <c r="DX21" s="580"/>
      <c r="DY21" s="580"/>
      <c r="DZ21" s="580"/>
      <c r="EA21" s="580"/>
      <c r="EB21" s="580"/>
      <c r="EC21" s="580"/>
      <c r="ED21" s="580"/>
      <c r="EE21" s="580"/>
      <c r="EF21" s="580"/>
      <c r="EG21" s="580"/>
      <c r="EH21" s="580"/>
      <c r="EI21" s="580"/>
      <c r="EJ21" s="580"/>
      <c r="EK21" s="580"/>
      <c r="EL21" s="580"/>
      <c r="EM21" s="580"/>
      <c r="EN21" s="580"/>
      <c r="EO21" s="580"/>
      <c r="EP21" s="580"/>
      <c r="EQ21" s="580"/>
      <c r="ER21" s="580"/>
      <c r="ES21" s="580"/>
      <c r="ET21" s="580"/>
      <c r="EU21" s="580"/>
      <c r="EV21" s="580"/>
      <c r="EW21" s="580"/>
      <c r="EX21" s="580"/>
      <c r="EY21" s="580"/>
      <c r="EZ21" s="580"/>
      <c r="FA21" s="580"/>
      <c r="FB21" s="580"/>
      <c r="FC21" s="580"/>
      <c r="FD21" s="580"/>
      <c r="FE21" s="580"/>
      <c r="FF21" s="580"/>
      <c r="FG21" s="580"/>
      <c r="FH21" s="580"/>
      <c r="FI21" s="580"/>
      <c r="FJ21" s="580"/>
      <c r="FK21" s="580"/>
      <c r="FL21" s="580"/>
      <c r="FM21" s="580"/>
      <c r="FN21" s="580"/>
      <c r="FO21" s="580"/>
      <c r="FP21" s="580"/>
      <c r="FQ21" s="580"/>
      <c r="FR21" s="580"/>
      <c r="FS21" s="580"/>
      <c r="FT21" s="580"/>
      <c r="FU21" s="580"/>
      <c r="FV21" s="580"/>
      <c r="FW21" s="580"/>
      <c r="FX21" s="580"/>
      <c r="FY21" s="580"/>
      <c r="FZ21" s="580"/>
      <c r="GA21" s="580"/>
      <c r="GB21" s="580"/>
      <c r="GC21" s="580"/>
      <c r="GD21" s="580"/>
      <c r="GE21" s="580"/>
      <c r="GF21" s="580"/>
      <c r="GG21" s="580"/>
      <c r="GH21" s="580"/>
      <c r="GI21" s="580"/>
      <c r="GJ21" s="580"/>
      <c r="GK21" s="580"/>
      <c r="GL21" s="580"/>
      <c r="GM21" s="580"/>
      <c r="GN21" s="580"/>
      <c r="GO21" s="580"/>
      <c r="GP21" s="580"/>
      <c r="GQ21" s="580"/>
      <c r="GR21" s="580"/>
      <c r="GS21" s="580"/>
      <c r="GT21" s="580"/>
      <c r="GU21" s="580"/>
      <c r="GV21" s="580"/>
      <c r="GW21" s="580"/>
      <c r="GX21" s="580"/>
      <c r="GY21" s="580"/>
      <c r="GZ21" s="580"/>
      <c r="HA21" s="580"/>
      <c r="HB21" s="580"/>
      <c r="HC21" s="580"/>
      <c r="HD21" s="580"/>
      <c r="HE21" s="580"/>
      <c r="HF21" s="580"/>
      <c r="HG21" s="580"/>
      <c r="HH21" s="580"/>
      <c r="HI21" s="580"/>
      <c r="HJ21" s="580"/>
      <c r="HK21" s="580"/>
      <c r="HL21" s="580"/>
      <c r="HM21" s="580"/>
      <c r="HN21" s="580"/>
      <c r="HO21" s="580"/>
      <c r="HP21" s="580"/>
      <c r="HQ21" s="580"/>
      <c r="HR21" s="580"/>
      <c r="HS21" s="580"/>
      <c r="HT21" s="580"/>
      <c r="HU21" s="580"/>
      <c r="HV21" s="580"/>
      <c r="HW21" s="580"/>
      <c r="HX21" s="580"/>
      <c r="HY21" s="580"/>
      <c r="HZ21" s="580"/>
      <c r="IA21" s="580"/>
      <c r="IB21" s="580"/>
      <c r="IC21" s="580"/>
      <c r="ID21" s="580"/>
      <c r="IE21" s="580"/>
      <c r="IF21" s="580"/>
      <c r="IG21" s="580"/>
      <c r="IH21" s="580"/>
      <c r="II21" s="580"/>
      <c r="IJ21" s="580"/>
      <c r="IK21" s="580"/>
      <c r="IL21" s="580"/>
      <c r="IM21" s="580"/>
      <c r="IN21" s="580"/>
      <c r="IO21" s="580"/>
      <c r="IP21" s="580"/>
      <c r="IQ21" s="580"/>
      <c r="IR21" s="580"/>
      <c r="IS21" s="580"/>
      <c r="IT21" s="580"/>
      <c r="IU21" s="580"/>
      <c r="IV21" s="580"/>
      <c r="IW21" s="580"/>
    </row>
    <row r="22" spans="2:257" ht="15.2" customHeight="1"/>
    <row r="23" spans="2:257" ht="19.5" customHeight="1">
      <c r="B23" s="580"/>
      <c r="C23" s="580"/>
      <c r="D23" s="580"/>
      <c r="E23" s="580"/>
      <c r="F23" s="580"/>
      <c r="G23" s="580"/>
      <c r="H23" s="709" t="s">
        <v>975</v>
      </c>
      <c r="I23" s="709"/>
      <c r="J23" s="709"/>
      <c r="K23" s="709"/>
      <c r="L23" s="709"/>
      <c r="M23" s="709"/>
      <c r="N23" s="709"/>
      <c r="O23" s="709"/>
      <c r="P23" s="709"/>
      <c r="Q23" s="709"/>
      <c r="R23" s="709"/>
      <c r="S23" s="615"/>
      <c r="T23" s="603"/>
      <c r="U23" s="603"/>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U23" s="580"/>
      <c r="AV23" s="580"/>
      <c r="AW23" s="580"/>
      <c r="AX23" s="580"/>
      <c r="AY23" s="580"/>
      <c r="AZ23" s="580"/>
      <c r="BA23" s="580"/>
      <c r="BB23" s="580"/>
      <c r="BC23" s="580"/>
      <c r="BD23" s="580"/>
      <c r="BE23" s="580"/>
      <c r="BF23" s="580"/>
      <c r="BG23" s="580"/>
      <c r="BH23" s="580"/>
      <c r="BI23" s="580"/>
      <c r="BJ23" s="580"/>
      <c r="BK23" s="580"/>
      <c r="BL23" s="580"/>
      <c r="BM23" s="580"/>
      <c r="BN23" s="580"/>
      <c r="BO23" s="580"/>
      <c r="BP23" s="580"/>
      <c r="BQ23" s="580"/>
      <c r="BR23" s="580"/>
      <c r="BS23" s="580"/>
      <c r="BT23" s="580"/>
      <c r="BU23" s="580"/>
      <c r="BV23" s="580"/>
      <c r="BW23" s="580"/>
      <c r="BX23" s="580"/>
      <c r="BY23" s="580"/>
      <c r="BZ23" s="580"/>
      <c r="CA23" s="580"/>
      <c r="CB23" s="580"/>
      <c r="CC23" s="580"/>
      <c r="CD23" s="580"/>
      <c r="CE23" s="580"/>
      <c r="CF23" s="580"/>
      <c r="CG23" s="580"/>
      <c r="CH23" s="580"/>
      <c r="CI23" s="580"/>
      <c r="CJ23" s="580"/>
      <c r="CK23" s="580"/>
      <c r="CL23" s="580"/>
      <c r="CM23" s="580"/>
      <c r="CN23" s="580"/>
      <c r="CO23" s="580"/>
      <c r="CP23" s="580"/>
      <c r="CQ23" s="580"/>
      <c r="CR23" s="580"/>
      <c r="CS23" s="580"/>
      <c r="CT23" s="580"/>
      <c r="CU23" s="580"/>
      <c r="CV23" s="580"/>
      <c r="CW23" s="580"/>
      <c r="CX23" s="580"/>
      <c r="CY23" s="580"/>
      <c r="CZ23" s="580"/>
      <c r="DA23" s="580"/>
      <c r="DB23" s="580"/>
      <c r="DC23" s="580"/>
      <c r="DD23" s="580"/>
      <c r="DE23" s="580"/>
      <c r="DF23" s="580"/>
      <c r="DG23" s="580"/>
      <c r="DH23" s="580"/>
      <c r="DI23" s="580"/>
      <c r="DJ23" s="580"/>
      <c r="DK23" s="580"/>
      <c r="DL23" s="580"/>
      <c r="DM23" s="580"/>
      <c r="DN23" s="580"/>
      <c r="DO23" s="580"/>
      <c r="DP23" s="580"/>
      <c r="DQ23" s="580"/>
      <c r="DR23" s="580"/>
      <c r="DS23" s="580"/>
      <c r="DT23" s="580"/>
      <c r="DU23" s="580"/>
      <c r="DV23" s="580"/>
      <c r="DW23" s="580"/>
      <c r="DX23" s="580"/>
      <c r="DY23" s="580"/>
      <c r="DZ23" s="580"/>
      <c r="EA23" s="580"/>
      <c r="EB23" s="580"/>
      <c r="EC23" s="580"/>
      <c r="ED23" s="580"/>
      <c r="EE23" s="580"/>
      <c r="EF23" s="580"/>
      <c r="EG23" s="580"/>
      <c r="EH23" s="580"/>
      <c r="EI23" s="580"/>
      <c r="EJ23" s="580"/>
      <c r="EK23" s="580"/>
      <c r="EL23" s="580"/>
      <c r="EM23" s="580"/>
      <c r="EN23" s="580"/>
      <c r="EO23" s="580"/>
      <c r="EP23" s="580"/>
      <c r="EQ23" s="580"/>
      <c r="ER23" s="580"/>
      <c r="ES23" s="580"/>
      <c r="ET23" s="580"/>
      <c r="EU23" s="580"/>
      <c r="EV23" s="580"/>
      <c r="EW23" s="580"/>
      <c r="EX23" s="580"/>
      <c r="EY23" s="580"/>
      <c r="EZ23" s="580"/>
      <c r="FA23" s="580"/>
      <c r="FB23" s="580"/>
      <c r="FC23" s="580"/>
      <c r="FD23" s="580"/>
      <c r="FE23" s="580"/>
      <c r="FF23" s="580"/>
      <c r="FG23" s="580"/>
      <c r="FH23" s="580"/>
      <c r="FI23" s="580"/>
      <c r="FJ23" s="580"/>
      <c r="FK23" s="580"/>
      <c r="FL23" s="580"/>
      <c r="FM23" s="580"/>
      <c r="FN23" s="580"/>
      <c r="FO23" s="580"/>
      <c r="FP23" s="580"/>
      <c r="FQ23" s="580"/>
      <c r="FR23" s="580"/>
      <c r="FS23" s="580"/>
      <c r="FT23" s="580"/>
      <c r="FU23" s="580"/>
      <c r="FV23" s="580"/>
      <c r="FW23" s="580"/>
      <c r="FX23" s="580"/>
      <c r="FY23" s="580"/>
      <c r="FZ23" s="580"/>
      <c r="GA23" s="580"/>
      <c r="GB23" s="580"/>
      <c r="GC23" s="580"/>
      <c r="GD23" s="580"/>
      <c r="GE23" s="580"/>
      <c r="GF23" s="580"/>
      <c r="GG23" s="580"/>
      <c r="GH23" s="580"/>
      <c r="GI23" s="580"/>
      <c r="GJ23" s="580"/>
      <c r="GK23" s="580"/>
      <c r="GL23" s="580"/>
      <c r="GM23" s="580"/>
      <c r="GN23" s="580"/>
      <c r="GO23" s="580"/>
      <c r="GP23" s="580"/>
      <c r="GQ23" s="580"/>
      <c r="GR23" s="580"/>
      <c r="GS23" s="580"/>
      <c r="GT23" s="580"/>
      <c r="GU23" s="580"/>
      <c r="GV23" s="580"/>
      <c r="GW23" s="580"/>
      <c r="GX23" s="580"/>
      <c r="GY23" s="580"/>
      <c r="GZ23" s="580"/>
      <c r="HA23" s="580"/>
      <c r="HB23" s="580"/>
      <c r="HC23" s="580"/>
      <c r="HD23" s="580"/>
      <c r="HE23" s="580"/>
      <c r="HF23" s="580"/>
      <c r="HG23" s="580"/>
      <c r="HH23" s="580"/>
      <c r="HI23" s="580"/>
      <c r="HJ23" s="580"/>
      <c r="HK23" s="580"/>
      <c r="HL23" s="580"/>
      <c r="HM23" s="580"/>
      <c r="HN23" s="580"/>
      <c r="HO23" s="580"/>
      <c r="HP23" s="580"/>
      <c r="HQ23" s="580"/>
      <c r="HR23" s="580"/>
      <c r="HS23" s="580"/>
      <c r="HT23" s="580"/>
      <c r="HU23" s="580"/>
      <c r="HV23" s="580"/>
      <c r="HW23" s="580"/>
      <c r="HX23" s="580"/>
      <c r="HY23" s="580"/>
      <c r="HZ23" s="580"/>
      <c r="IA23" s="580"/>
      <c r="IB23" s="580"/>
      <c r="IC23" s="580"/>
      <c r="ID23" s="580"/>
      <c r="IE23" s="580"/>
      <c r="IF23" s="580"/>
      <c r="IG23" s="580"/>
      <c r="IH23" s="580"/>
      <c r="II23" s="580"/>
      <c r="IJ23" s="580"/>
      <c r="IK23" s="580"/>
      <c r="IL23" s="580"/>
      <c r="IM23" s="580"/>
      <c r="IN23" s="580"/>
      <c r="IO23" s="580"/>
      <c r="IP23" s="580"/>
      <c r="IQ23" s="580"/>
      <c r="IR23" s="580"/>
      <c r="IS23" s="580"/>
      <c r="IT23" s="580"/>
      <c r="IU23" s="580"/>
      <c r="IV23" s="580"/>
      <c r="IW23" s="580"/>
    </row>
    <row r="24" spans="2:257" ht="25.9" customHeight="1">
      <c r="B24" s="580"/>
      <c r="C24" s="580"/>
      <c r="D24" s="580"/>
      <c r="E24" s="580"/>
      <c r="F24" s="580"/>
      <c r="G24" s="580"/>
      <c r="H24" s="707" t="s">
        <v>995</v>
      </c>
      <c r="I24" s="707"/>
      <c r="J24" s="707"/>
      <c r="K24" s="707"/>
      <c r="L24" s="707"/>
      <c r="M24" s="707"/>
      <c r="N24" s="707"/>
      <c r="O24" s="707"/>
      <c r="P24" s="707"/>
      <c r="Q24" s="707"/>
      <c r="R24" s="707"/>
      <c r="S24" s="604"/>
      <c r="T24" s="604"/>
      <c r="U24" s="604"/>
      <c r="V24" s="580"/>
      <c r="W24" s="580"/>
      <c r="X24" s="580"/>
      <c r="Y24" s="580"/>
      <c r="Z24" s="580"/>
      <c r="AA24" s="580"/>
      <c r="AB24" s="580"/>
      <c r="AC24" s="580"/>
      <c r="AD24" s="580"/>
      <c r="AE24" s="580"/>
      <c r="AF24" s="580"/>
      <c r="AG24" s="580"/>
      <c r="AH24" s="580"/>
      <c r="AI24" s="580"/>
      <c r="AJ24" s="580"/>
      <c r="AK24" s="580"/>
      <c r="AL24" s="580"/>
      <c r="AM24" s="580"/>
      <c r="AN24" s="580"/>
      <c r="AO24" s="580"/>
      <c r="AP24" s="580"/>
      <c r="AQ24" s="580"/>
      <c r="AR24" s="580"/>
      <c r="AS24" s="580"/>
      <c r="AT24" s="580"/>
      <c r="AU24" s="580"/>
      <c r="AV24" s="580"/>
      <c r="AW24" s="580"/>
      <c r="AX24" s="580"/>
      <c r="AY24" s="580"/>
      <c r="AZ24" s="580"/>
      <c r="BA24" s="580"/>
      <c r="BB24" s="580"/>
      <c r="BC24" s="580"/>
      <c r="BD24" s="580"/>
      <c r="BE24" s="580"/>
      <c r="BF24" s="580"/>
      <c r="BG24" s="580"/>
      <c r="BH24" s="580"/>
      <c r="BI24" s="580"/>
      <c r="BJ24" s="580"/>
      <c r="BK24" s="580"/>
      <c r="BL24" s="580"/>
      <c r="BM24" s="580"/>
      <c r="BN24" s="580"/>
      <c r="BO24" s="580"/>
      <c r="BP24" s="580"/>
      <c r="BQ24" s="580"/>
      <c r="BR24" s="580"/>
      <c r="BS24" s="580"/>
      <c r="BT24" s="580"/>
      <c r="BU24" s="580"/>
      <c r="BV24" s="580"/>
      <c r="BW24" s="580"/>
      <c r="BX24" s="580"/>
      <c r="BY24" s="580"/>
      <c r="BZ24" s="580"/>
      <c r="CA24" s="580"/>
      <c r="CB24" s="580"/>
      <c r="CC24" s="580"/>
      <c r="CD24" s="580"/>
      <c r="CE24" s="580"/>
      <c r="CF24" s="580"/>
      <c r="CG24" s="580"/>
      <c r="CH24" s="580"/>
      <c r="CI24" s="580"/>
      <c r="CJ24" s="580"/>
      <c r="CK24" s="580"/>
      <c r="CL24" s="580"/>
      <c r="CM24" s="580"/>
      <c r="CN24" s="580"/>
      <c r="CO24" s="580"/>
      <c r="CP24" s="580"/>
      <c r="CQ24" s="580"/>
      <c r="CR24" s="580"/>
      <c r="CS24" s="580"/>
      <c r="CT24" s="580"/>
      <c r="CU24" s="580"/>
      <c r="CV24" s="580"/>
      <c r="CW24" s="580"/>
      <c r="CX24" s="580"/>
      <c r="CY24" s="580"/>
      <c r="CZ24" s="580"/>
      <c r="DA24" s="580"/>
      <c r="DB24" s="580"/>
      <c r="DC24" s="580"/>
      <c r="DD24" s="580"/>
      <c r="DE24" s="580"/>
      <c r="DF24" s="580"/>
      <c r="DG24" s="580"/>
      <c r="DH24" s="580"/>
      <c r="DI24" s="580"/>
      <c r="DJ24" s="580"/>
      <c r="DK24" s="580"/>
      <c r="DL24" s="580"/>
      <c r="DM24" s="580"/>
      <c r="DN24" s="580"/>
      <c r="DO24" s="580"/>
      <c r="DP24" s="580"/>
      <c r="DQ24" s="580"/>
      <c r="DR24" s="580"/>
      <c r="DS24" s="580"/>
      <c r="DT24" s="580"/>
      <c r="DU24" s="580"/>
      <c r="DV24" s="580"/>
      <c r="DW24" s="580"/>
      <c r="DX24" s="580"/>
      <c r="DY24" s="580"/>
      <c r="DZ24" s="580"/>
      <c r="EA24" s="580"/>
      <c r="EB24" s="580"/>
      <c r="EC24" s="580"/>
      <c r="ED24" s="580"/>
      <c r="EE24" s="580"/>
      <c r="EF24" s="580"/>
      <c r="EG24" s="580"/>
      <c r="EH24" s="580"/>
      <c r="EI24" s="580"/>
      <c r="EJ24" s="580"/>
      <c r="EK24" s="580"/>
      <c r="EL24" s="580"/>
      <c r="EM24" s="580"/>
      <c r="EN24" s="580"/>
      <c r="EO24" s="580"/>
      <c r="EP24" s="580"/>
      <c r="EQ24" s="580"/>
      <c r="ER24" s="580"/>
      <c r="ES24" s="580"/>
      <c r="ET24" s="580"/>
      <c r="EU24" s="580"/>
      <c r="EV24" s="580"/>
      <c r="EW24" s="580"/>
      <c r="EX24" s="580"/>
      <c r="EY24" s="580"/>
      <c r="EZ24" s="580"/>
      <c r="FA24" s="580"/>
      <c r="FB24" s="580"/>
      <c r="FC24" s="580"/>
      <c r="FD24" s="580"/>
      <c r="FE24" s="580"/>
      <c r="FF24" s="580"/>
      <c r="FG24" s="580"/>
      <c r="FH24" s="580"/>
      <c r="FI24" s="580"/>
      <c r="FJ24" s="580"/>
      <c r="FK24" s="580"/>
      <c r="FL24" s="580"/>
      <c r="FM24" s="580"/>
      <c r="FN24" s="580"/>
      <c r="FO24" s="580"/>
      <c r="FP24" s="580"/>
      <c r="FQ24" s="580"/>
      <c r="FR24" s="580"/>
      <c r="FS24" s="580"/>
      <c r="FT24" s="580"/>
      <c r="FU24" s="580"/>
      <c r="FV24" s="580"/>
      <c r="FW24" s="580"/>
      <c r="FX24" s="580"/>
      <c r="FY24" s="580"/>
      <c r="FZ24" s="580"/>
      <c r="GA24" s="580"/>
      <c r="GB24" s="580"/>
      <c r="GC24" s="580"/>
      <c r="GD24" s="580"/>
      <c r="GE24" s="580"/>
      <c r="GF24" s="580"/>
      <c r="GG24" s="580"/>
      <c r="GH24" s="580"/>
      <c r="GI24" s="580"/>
      <c r="GJ24" s="580"/>
      <c r="GK24" s="580"/>
      <c r="GL24" s="580"/>
      <c r="GM24" s="580"/>
      <c r="GN24" s="580"/>
      <c r="GO24" s="580"/>
      <c r="GP24" s="580"/>
      <c r="GQ24" s="580"/>
      <c r="GR24" s="580"/>
      <c r="GS24" s="580"/>
      <c r="GT24" s="580"/>
      <c r="GU24" s="580"/>
      <c r="GV24" s="580"/>
      <c r="GW24" s="580"/>
      <c r="GX24" s="580"/>
      <c r="GY24" s="580"/>
      <c r="GZ24" s="580"/>
      <c r="HA24" s="580"/>
      <c r="HB24" s="580"/>
      <c r="HC24" s="580"/>
      <c r="HD24" s="580"/>
      <c r="HE24" s="580"/>
      <c r="HF24" s="580"/>
      <c r="HG24" s="580"/>
      <c r="HH24" s="580"/>
      <c r="HI24" s="580"/>
      <c r="HJ24" s="580"/>
      <c r="HK24" s="580"/>
      <c r="HL24" s="580"/>
      <c r="HM24" s="580"/>
      <c r="HN24" s="580"/>
      <c r="HO24" s="580"/>
      <c r="HP24" s="580"/>
      <c r="HQ24" s="580"/>
      <c r="HR24" s="580"/>
      <c r="HS24" s="580"/>
      <c r="HT24" s="580"/>
      <c r="HU24" s="580"/>
      <c r="HV24" s="580"/>
      <c r="HW24" s="580"/>
      <c r="HX24" s="580"/>
      <c r="HY24" s="580"/>
      <c r="HZ24" s="580"/>
      <c r="IA24" s="580"/>
      <c r="IB24" s="580"/>
      <c r="IC24" s="580"/>
      <c r="ID24" s="580"/>
      <c r="IE24" s="580"/>
      <c r="IF24" s="580"/>
      <c r="IG24" s="580"/>
      <c r="IH24" s="580"/>
      <c r="II24" s="580"/>
      <c r="IJ24" s="580"/>
      <c r="IK24" s="580"/>
      <c r="IL24" s="580"/>
      <c r="IM24" s="580"/>
      <c r="IN24" s="580"/>
      <c r="IO24" s="580"/>
      <c r="IP24" s="580"/>
      <c r="IQ24" s="580"/>
      <c r="IR24" s="580"/>
      <c r="IS24" s="580"/>
      <c r="IT24" s="580"/>
      <c r="IU24" s="580"/>
      <c r="IV24" s="580"/>
      <c r="IW24" s="580"/>
    </row>
    <row r="25" spans="2:257" ht="28.9" customHeight="1">
      <c r="B25" s="580"/>
      <c r="C25" s="580"/>
      <c r="D25" s="580"/>
      <c r="E25" s="580"/>
      <c r="F25" s="580"/>
      <c r="G25" s="580"/>
      <c r="H25" s="708" t="s">
        <v>976</v>
      </c>
      <c r="I25" s="708"/>
      <c r="J25" s="708"/>
      <c r="K25" s="708"/>
      <c r="L25" s="708"/>
      <c r="M25" s="708"/>
      <c r="N25" s="708"/>
      <c r="O25" s="708"/>
      <c r="P25" s="708"/>
      <c r="Q25" s="708"/>
      <c r="R25" s="708"/>
      <c r="S25" s="605"/>
      <c r="T25" s="605"/>
      <c r="U25" s="605"/>
      <c r="V25" s="580"/>
      <c r="W25" s="580"/>
      <c r="X25" s="580"/>
      <c r="Y25" s="580"/>
      <c r="Z25" s="580"/>
      <c r="AA25" s="580"/>
      <c r="AB25" s="580"/>
      <c r="AC25" s="580"/>
      <c r="AD25" s="580"/>
      <c r="AE25" s="580"/>
      <c r="AF25" s="580"/>
      <c r="AG25" s="580"/>
      <c r="AH25" s="580"/>
      <c r="AI25" s="580"/>
      <c r="AJ25" s="580"/>
      <c r="AK25" s="580"/>
      <c r="AL25" s="580"/>
      <c r="AM25" s="580"/>
      <c r="AN25" s="580"/>
      <c r="AO25" s="580"/>
      <c r="AP25" s="580"/>
      <c r="AQ25" s="580"/>
      <c r="AR25" s="580"/>
      <c r="AS25" s="580"/>
      <c r="AT25" s="580"/>
      <c r="AU25" s="580"/>
      <c r="AV25" s="580"/>
      <c r="AW25" s="580"/>
      <c r="AX25" s="580"/>
      <c r="AY25" s="580"/>
      <c r="AZ25" s="580"/>
      <c r="BA25" s="580"/>
      <c r="BB25" s="580"/>
      <c r="BC25" s="580"/>
      <c r="BD25" s="580"/>
      <c r="BE25" s="580"/>
      <c r="BF25" s="580"/>
      <c r="BG25" s="580"/>
      <c r="BH25" s="580"/>
      <c r="BI25" s="580"/>
      <c r="BJ25" s="580"/>
      <c r="BK25" s="580"/>
      <c r="BL25" s="580"/>
      <c r="BM25" s="580"/>
      <c r="BN25" s="580"/>
      <c r="BO25" s="580"/>
      <c r="BP25" s="580"/>
      <c r="BQ25" s="580"/>
      <c r="BR25" s="580"/>
      <c r="BS25" s="580"/>
      <c r="BT25" s="580"/>
      <c r="BU25" s="580"/>
      <c r="BV25" s="580"/>
      <c r="BW25" s="580"/>
      <c r="BX25" s="580"/>
      <c r="BY25" s="580"/>
      <c r="BZ25" s="580"/>
      <c r="CA25" s="580"/>
      <c r="CB25" s="580"/>
      <c r="CC25" s="580"/>
      <c r="CD25" s="580"/>
      <c r="CE25" s="580"/>
      <c r="CF25" s="580"/>
      <c r="CG25" s="580"/>
      <c r="CH25" s="580"/>
      <c r="CI25" s="580"/>
      <c r="CJ25" s="580"/>
      <c r="CK25" s="580"/>
      <c r="CL25" s="580"/>
      <c r="CM25" s="580"/>
      <c r="CN25" s="580"/>
      <c r="CO25" s="580"/>
      <c r="CP25" s="580"/>
      <c r="CQ25" s="580"/>
      <c r="CR25" s="580"/>
      <c r="CS25" s="580"/>
      <c r="CT25" s="580"/>
      <c r="CU25" s="580"/>
      <c r="CV25" s="580"/>
      <c r="CW25" s="580"/>
      <c r="CX25" s="580"/>
      <c r="CY25" s="580"/>
      <c r="CZ25" s="580"/>
      <c r="DA25" s="580"/>
      <c r="DB25" s="580"/>
      <c r="DC25" s="580"/>
      <c r="DD25" s="580"/>
      <c r="DE25" s="580"/>
      <c r="DF25" s="580"/>
      <c r="DG25" s="580"/>
      <c r="DH25" s="580"/>
      <c r="DI25" s="580"/>
      <c r="DJ25" s="580"/>
      <c r="DK25" s="580"/>
      <c r="DL25" s="580"/>
      <c r="DM25" s="580"/>
      <c r="DN25" s="580"/>
      <c r="DO25" s="580"/>
      <c r="DP25" s="580"/>
      <c r="DQ25" s="580"/>
      <c r="DR25" s="580"/>
      <c r="DS25" s="580"/>
      <c r="DT25" s="580"/>
      <c r="DU25" s="580"/>
      <c r="DV25" s="580"/>
      <c r="DW25" s="580"/>
      <c r="DX25" s="580"/>
      <c r="DY25" s="580"/>
      <c r="DZ25" s="580"/>
      <c r="EA25" s="580"/>
      <c r="EB25" s="580"/>
      <c r="EC25" s="580"/>
      <c r="ED25" s="580"/>
      <c r="EE25" s="580"/>
      <c r="EF25" s="580"/>
      <c r="EG25" s="580"/>
      <c r="EH25" s="580"/>
      <c r="EI25" s="580"/>
      <c r="EJ25" s="580"/>
      <c r="EK25" s="580"/>
      <c r="EL25" s="580"/>
      <c r="EM25" s="580"/>
      <c r="EN25" s="580"/>
      <c r="EO25" s="580"/>
      <c r="EP25" s="580"/>
      <c r="EQ25" s="580"/>
      <c r="ER25" s="580"/>
      <c r="ES25" s="580"/>
      <c r="ET25" s="580"/>
      <c r="EU25" s="580"/>
      <c r="EV25" s="580"/>
      <c r="EW25" s="580"/>
      <c r="EX25" s="580"/>
      <c r="EY25" s="580"/>
      <c r="EZ25" s="580"/>
      <c r="FA25" s="580"/>
      <c r="FB25" s="580"/>
      <c r="FC25" s="580"/>
      <c r="FD25" s="580"/>
      <c r="FE25" s="580"/>
      <c r="FF25" s="580"/>
      <c r="FG25" s="580"/>
      <c r="FH25" s="580"/>
      <c r="FI25" s="580"/>
      <c r="FJ25" s="580"/>
      <c r="FK25" s="580"/>
      <c r="FL25" s="580"/>
      <c r="FM25" s="580"/>
      <c r="FN25" s="580"/>
      <c r="FO25" s="580"/>
      <c r="FP25" s="580"/>
      <c r="FQ25" s="580"/>
      <c r="FR25" s="580"/>
      <c r="FS25" s="580"/>
      <c r="FT25" s="580"/>
      <c r="FU25" s="580"/>
      <c r="FV25" s="580"/>
      <c r="FW25" s="580"/>
      <c r="FX25" s="580"/>
      <c r="FY25" s="580"/>
      <c r="FZ25" s="580"/>
      <c r="GA25" s="580"/>
      <c r="GB25" s="580"/>
      <c r="GC25" s="580"/>
      <c r="GD25" s="580"/>
      <c r="GE25" s="580"/>
      <c r="GF25" s="580"/>
      <c r="GG25" s="580"/>
      <c r="GH25" s="580"/>
      <c r="GI25" s="580"/>
      <c r="GJ25" s="580"/>
      <c r="GK25" s="580"/>
      <c r="GL25" s="580"/>
      <c r="GM25" s="580"/>
      <c r="GN25" s="580"/>
      <c r="GO25" s="580"/>
      <c r="GP25" s="580"/>
      <c r="GQ25" s="580"/>
      <c r="GR25" s="580"/>
      <c r="GS25" s="580"/>
      <c r="GT25" s="580"/>
      <c r="GU25" s="580"/>
      <c r="GV25" s="580"/>
      <c r="GW25" s="580"/>
      <c r="GX25" s="580"/>
      <c r="GY25" s="580"/>
      <c r="GZ25" s="580"/>
      <c r="HA25" s="580"/>
      <c r="HB25" s="580"/>
      <c r="HC25" s="580"/>
      <c r="HD25" s="580"/>
      <c r="HE25" s="580"/>
      <c r="HF25" s="580"/>
      <c r="HG25" s="580"/>
      <c r="HH25" s="580"/>
      <c r="HI25" s="580"/>
      <c r="HJ25" s="580"/>
      <c r="HK25" s="580"/>
      <c r="HL25" s="580"/>
      <c r="HM25" s="580"/>
      <c r="HN25" s="580"/>
      <c r="HO25" s="580"/>
      <c r="HP25" s="580"/>
      <c r="HQ25" s="580"/>
      <c r="HR25" s="580"/>
      <c r="HS25" s="580"/>
      <c r="HT25" s="580"/>
      <c r="HU25" s="580"/>
      <c r="HV25" s="580"/>
      <c r="HW25" s="580"/>
      <c r="HX25" s="580"/>
      <c r="HY25" s="580"/>
      <c r="HZ25" s="580"/>
      <c r="IA25" s="580"/>
      <c r="IB25" s="580"/>
      <c r="IC25" s="580"/>
      <c r="ID25" s="580"/>
      <c r="IE25" s="580"/>
      <c r="IF25" s="580"/>
      <c r="IG25" s="580"/>
      <c r="IH25" s="580"/>
      <c r="II25" s="580"/>
      <c r="IJ25" s="580"/>
      <c r="IK25" s="580"/>
      <c r="IL25" s="580"/>
      <c r="IM25" s="580"/>
      <c r="IN25" s="580"/>
      <c r="IO25" s="580"/>
      <c r="IP25" s="580"/>
      <c r="IQ25" s="580"/>
      <c r="IR25" s="580"/>
      <c r="IS25" s="580"/>
      <c r="IT25" s="580"/>
      <c r="IU25" s="580"/>
      <c r="IV25" s="580"/>
      <c r="IW25" s="580"/>
    </row>
    <row r="26" spans="2:257" ht="14.45" customHeight="1">
      <c r="B26" s="580"/>
      <c r="C26" s="606"/>
      <c r="D26" s="606"/>
      <c r="E26" s="606"/>
      <c r="F26" s="580"/>
      <c r="G26" s="580"/>
      <c r="H26" s="580"/>
      <c r="I26" s="580"/>
      <c r="J26" s="580"/>
      <c r="K26" s="580"/>
      <c r="L26" s="580"/>
      <c r="M26" s="580"/>
      <c r="N26" s="580"/>
      <c r="O26" s="580"/>
      <c r="P26" s="580"/>
      <c r="Q26" s="580"/>
      <c r="R26" s="580"/>
      <c r="S26" s="580"/>
      <c r="T26" s="580"/>
      <c r="U26" s="580"/>
      <c r="V26" s="580"/>
      <c r="W26" s="580"/>
      <c r="X26" s="580"/>
      <c r="Y26" s="580"/>
      <c r="Z26" s="580"/>
      <c r="AA26" s="580"/>
      <c r="AB26" s="580"/>
      <c r="AC26" s="580"/>
      <c r="AD26" s="580"/>
      <c r="AE26" s="580"/>
      <c r="AF26" s="580"/>
      <c r="AG26" s="580"/>
      <c r="AH26" s="580"/>
      <c r="AI26" s="580"/>
      <c r="AJ26" s="580"/>
      <c r="AK26" s="580"/>
      <c r="AL26" s="580"/>
      <c r="AM26" s="580"/>
      <c r="AN26" s="580"/>
      <c r="AO26" s="580"/>
      <c r="AP26" s="580"/>
      <c r="AQ26" s="580"/>
      <c r="AR26" s="580"/>
      <c r="AS26" s="580"/>
      <c r="AT26" s="580"/>
      <c r="AU26" s="580"/>
      <c r="AV26" s="580"/>
      <c r="AW26" s="580"/>
      <c r="AX26" s="580"/>
      <c r="AY26" s="580"/>
      <c r="AZ26" s="580"/>
      <c r="BA26" s="580"/>
      <c r="BB26" s="580"/>
      <c r="BC26" s="580"/>
      <c r="BD26" s="580"/>
      <c r="BE26" s="580"/>
      <c r="BF26" s="580"/>
      <c r="BG26" s="580"/>
      <c r="BH26" s="580"/>
      <c r="BI26" s="580"/>
      <c r="BJ26" s="580"/>
      <c r="BK26" s="580"/>
      <c r="BL26" s="580"/>
      <c r="BM26" s="580"/>
      <c r="BN26" s="580"/>
      <c r="BO26" s="580"/>
      <c r="BP26" s="580"/>
      <c r="BQ26" s="580"/>
      <c r="BR26" s="580"/>
      <c r="BS26" s="580"/>
      <c r="BT26" s="580"/>
      <c r="BU26" s="580"/>
      <c r="BV26" s="580"/>
      <c r="BW26" s="580"/>
      <c r="BX26" s="580"/>
      <c r="BY26" s="580"/>
      <c r="BZ26" s="580"/>
      <c r="CA26" s="580"/>
      <c r="CB26" s="580"/>
      <c r="CC26" s="580"/>
      <c r="CD26" s="580"/>
      <c r="CE26" s="580"/>
      <c r="CF26" s="580"/>
      <c r="CG26" s="580"/>
      <c r="CH26" s="580"/>
      <c r="CI26" s="580"/>
      <c r="CJ26" s="580"/>
      <c r="CK26" s="580"/>
      <c r="CL26" s="580"/>
      <c r="CM26" s="580"/>
      <c r="CN26" s="580"/>
      <c r="CO26" s="580"/>
      <c r="CP26" s="580"/>
      <c r="CQ26" s="580"/>
      <c r="CR26" s="580"/>
      <c r="CS26" s="580"/>
      <c r="CT26" s="580"/>
      <c r="CU26" s="580"/>
      <c r="CV26" s="580"/>
      <c r="CW26" s="580"/>
      <c r="CX26" s="580"/>
      <c r="CY26" s="580"/>
      <c r="CZ26" s="580"/>
      <c r="DA26" s="580"/>
      <c r="DB26" s="580"/>
      <c r="DC26" s="580"/>
      <c r="DD26" s="580"/>
      <c r="DE26" s="580"/>
      <c r="DF26" s="580"/>
      <c r="DG26" s="580"/>
      <c r="DH26" s="580"/>
      <c r="DI26" s="580"/>
      <c r="DJ26" s="580"/>
      <c r="DK26" s="580"/>
      <c r="DL26" s="580"/>
      <c r="DM26" s="580"/>
      <c r="DN26" s="580"/>
      <c r="DO26" s="580"/>
      <c r="DP26" s="580"/>
      <c r="DQ26" s="580"/>
      <c r="DR26" s="580"/>
      <c r="DS26" s="580"/>
      <c r="DT26" s="580"/>
      <c r="DU26" s="580"/>
      <c r="DV26" s="580"/>
      <c r="DW26" s="580"/>
      <c r="DX26" s="580"/>
      <c r="DY26" s="580"/>
      <c r="DZ26" s="580"/>
      <c r="EA26" s="580"/>
      <c r="EB26" s="580"/>
      <c r="EC26" s="580"/>
      <c r="ED26" s="580"/>
      <c r="EE26" s="580"/>
      <c r="EF26" s="580"/>
      <c r="EG26" s="580"/>
      <c r="EH26" s="580"/>
      <c r="EI26" s="580"/>
      <c r="EJ26" s="580"/>
      <c r="EK26" s="580"/>
      <c r="EL26" s="580"/>
      <c r="EM26" s="580"/>
      <c r="EN26" s="580"/>
      <c r="EO26" s="580"/>
      <c r="EP26" s="580"/>
      <c r="EQ26" s="580"/>
      <c r="ER26" s="580"/>
      <c r="ES26" s="580"/>
      <c r="ET26" s="580"/>
      <c r="EU26" s="580"/>
      <c r="EV26" s="580"/>
      <c r="EW26" s="580"/>
      <c r="EX26" s="580"/>
      <c r="EY26" s="580"/>
      <c r="EZ26" s="580"/>
      <c r="FA26" s="580"/>
      <c r="FB26" s="580"/>
      <c r="FC26" s="580"/>
      <c r="FD26" s="580"/>
      <c r="FE26" s="580"/>
      <c r="FF26" s="580"/>
      <c r="FG26" s="580"/>
      <c r="FH26" s="580"/>
      <c r="FI26" s="580"/>
      <c r="FJ26" s="580"/>
      <c r="FK26" s="580"/>
      <c r="FL26" s="580"/>
      <c r="FM26" s="580"/>
      <c r="FN26" s="580"/>
      <c r="FO26" s="580"/>
      <c r="FP26" s="580"/>
      <c r="FQ26" s="580"/>
      <c r="FR26" s="580"/>
      <c r="FS26" s="580"/>
      <c r="FT26" s="580"/>
      <c r="FU26" s="580"/>
      <c r="FV26" s="580"/>
      <c r="FW26" s="580"/>
      <c r="FX26" s="580"/>
      <c r="FY26" s="580"/>
      <c r="FZ26" s="580"/>
      <c r="GA26" s="580"/>
      <c r="GB26" s="580"/>
      <c r="GC26" s="580"/>
      <c r="GD26" s="580"/>
      <c r="GE26" s="580"/>
      <c r="GF26" s="580"/>
      <c r="GG26" s="580"/>
      <c r="GH26" s="580"/>
      <c r="GI26" s="580"/>
      <c r="GJ26" s="580"/>
      <c r="GK26" s="580"/>
      <c r="GL26" s="580"/>
      <c r="GM26" s="580"/>
      <c r="GN26" s="580"/>
      <c r="GO26" s="580"/>
      <c r="GP26" s="580"/>
      <c r="GQ26" s="580"/>
      <c r="GR26" s="580"/>
      <c r="GS26" s="580"/>
      <c r="GT26" s="580"/>
      <c r="GU26" s="580"/>
      <c r="GV26" s="580"/>
      <c r="GW26" s="580"/>
      <c r="GX26" s="580"/>
      <c r="GY26" s="580"/>
      <c r="GZ26" s="580"/>
      <c r="HA26" s="580"/>
      <c r="HB26" s="580"/>
      <c r="HC26" s="580"/>
      <c r="HD26" s="580"/>
      <c r="HE26" s="580"/>
      <c r="HF26" s="580"/>
      <c r="HG26" s="580"/>
      <c r="HH26" s="580"/>
      <c r="HI26" s="580"/>
      <c r="HJ26" s="580"/>
      <c r="HK26" s="580"/>
      <c r="HL26" s="580"/>
      <c r="HM26" s="580"/>
      <c r="HN26" s="580"/>
      <c r="HO26" s="580"/>
      <c r="HP26" s="580"/>
      <c r="HQ26" s="580"/>
      <c r="HR26" s="580"/>
      <c r="HS26" s="580"/>
      <c r="HT26" s="580"/>
      <c r="HU26" s="580"/>
      <c r="HV26" s="580"/>
      <c r="HW26" s="580"/>
      <c r="HX26" s="580"/>
      <c r="HY26" s="580"/>
      <c r="HZ26" s="580"/>
      <c r="IA26" s="580"/>
      <c r="IB26" s="580"/>
      <c r="IC26" s="580"/>
      <c r="ID26" s="580"/>
      <c r="IE26" s="580"/>
      <c r="IF26" s="580"/>
      <c r="IG26" s="580"/>
      <c r="IH26" s="580"/>
      <c r="II26" s="580"/>
      <c r="IJ26" s="580"/>
      <c r="IK26" s="580"/>
      <c r="IL26" s="580"/>
      <c r="IM26" s="580"/>
      <c r="IN26" s="580"/>
      <c r="IO26" s="580"/>
      <c r="IP26" s="580"/>
      <c r="IQ26" s="580"/>
      <c r="IR26" s="580"/>
      <c r="IS26" s="580"/>
      <c r="IT26" s="580"/>
      <c r="IU26" s="580"/>
      <c r="IV26" s="580"/>
      <c r="IW26" s="580"/>
    </row>
    <row r="27" spans="2:257" ht="15.2" customHeight="1">
      <c r="B27" s="6"/>
    </row>
    <row r="28" spans="2:257" ht="14.45" customHeight="1">
      <c r="B28" s="6"/>
    </row>
    <row r="29" spans="2:257" ht="14.45" customHeight="1">
      <c r="B29" s="6"/>
    </row>
    <row r="30" spans="2:257" ht="14.45" customHeight="1">
      <c r="B30" s="6"/>
    </row>
    <row r="31" spans="2:257" ht="14.45" customHeight="1">
      <c r="B31" s="6"/>
    </row>
    <row r="32" spans="2:257" ht="15.2" customHeight="1">
      <c r="B32" s="6"/>
    </row>
    <row r="33" spans="2:257" ht="14.45" customHeight="1">
      <c r="B33" s="580"/>
      <c r="C33" s="580"/>
      <c r="D33" s="580"/>
      <c r="E33" s="580"/>
      <c r="F33" s="580"/>
      <c r="G33" s="580"/>
      <c r="H33" s="590"/>
      <c r="I33" s="590"/>
      <c r="J33" s="590"/>
      <c r="K33" s="590"/>
      <c r="L33" s="590"/>
      <c r="M33" s="590"/>
      <c r="N33" s="580"/>
      <c r="O33" s="580"/>
      <c r="P33" s="580"/>
      <c r="Q33" s="580"/>
      <c r="R33" s="580"/>
      <c r="S33" s="580"/>
      <c r="T33" s="580"/>
      <c r="U33" s="580"/>
      <c r="V33" s="580"/>
      <c r="W33" s="580"/>
      <c r="X33" s="580"/>
      <c r="Y33" s="580"/>
      <c r="Z33" s="580"/>
      <c r="AA33" s="580"/>
      <c r="AB33" s="580"/>
      <c r="AC33" s="580"/>
      <c r="AD33" s="580"/>
      <c r="AE33" s="580"/>
      <c r="AF33" s="580"/>
      <c r="AG33" s="580"/>
      <c r="AH33" s="580"/>
      <c r="AI33" s="580"/>
      <c r="AJ33" s="580"/>
      <c r="AK33" s="580"/>
      <c r="AL33" s="580"/>
      <c r="AM33" s="580"/>
      <c r="AN33" s="580"/>
      <c r="AO33" s="580"/>
      <c r="AP33" s="580"/>
      <c r="AQ33" s="580"/>
      <c r="AR33" s="580"/>
      <c r="AS33" s="580"/>
      <c r="AT33" s="580"/>
      <c r="AU33" s="580"/>
      <c r="AV33" s="580"/>
      <c r="AW33" s="580"/>
      <c r="AX33" s="580"/>
      <c r="AY33" s="580"/>
      <c r="AZ33" s="580"/>
      <c r="BA33" s="580"/>
      <c r="BB33" s="580"/>
      <c r="BC33" s="580"/>
      <c r="BD33" s="580"/>
      <c r="BE33" s="580"/>
      <c r="BF33" s="580"/>
      <c r="BG33" s="580"/>
      <c r="BH33" s="580"/>
      <c r="BI33" s="580"/>
      <c r="BJ33" s="580"/>
      <c r="BK33" s="580"/>
      <c r="BL33" s="580"/>
      <c r="BM33" s="580"/>
      <c r="BN33" s="580"/>
      <c r="BO33" s="580"/>
      <c r="BP33" s="580"/>
      <c r="BQ33" s="580"/>
      <c r="BR33" s="580"/>
      <c r="BS33" s="580"/>
      <c r="BT33" s="580"/>
      <c r="BU33" s="580"/>
      <c r="BV33" s="580"/>
      <c r="BW33" s="580"/>
      <c r="BX33" s="580"/>
      <c r="BY33" s="580"/>
      <c r="BZ33" s="580"/>
      <c r="CA33" s="580"/>
      <c r="CB33" s="580"/>
      <c r="CC33" s="580"/>
      <c r="CD33" s="580"/>
      <c r="CE33" s="580"/>
      <c r="CF33" s="580"/>
      <c r="CG33" s="580"/>
      <c r="CH33" s="580"/>
      <c r="CI33" s="580"/>
      <c r="CJ33" s="580"/>
      <c r="CK33" s="580"/>
      <c r="CL33" s="580"/>
      <c r="CM33" s="580"/>
      <c r="CN33" s="580"/>
      <c r="CO33" s="580"/>
      <c r="CP33" s="580"/>
      <c r="CQ33" s="580"/>
      <c r="CR33" s="580"/>
      <c r="CS33" s="580"/>
      <c r="CT33" s="580"/>
      <c r="CU33" s="580"/>
      <c r="CV33" s="580"/>
      <c r="CW33" s="580"/>
      <c r="CX33" s="580"/>
      <c r="CY33" s="580"/>
      <c r="CZ33" s="580"/>
      <c r="DA33" s="580"/>
      <c r="DB33" s="580"/>
      <c r="DC33" s="580"/>
      <c r="DD33" s="580"/>
      <c r="DE33" s="580"/>
      <c r="DF33" s="580"/>
      <c r="DG33" s="580"/>
      <c r="DH33" s="580"/>
      <c r="DI33" s="580"/>
      <c r="DJ33" s="580"/>
      <c r="DK33" s="580"/>
      <c r="DL33" s="580"/>
      <c r="DM33" s="580"/>
      <c r="DN33" s="580"/>
      <c r="DO33" s="580"/>
      <c r="DP33" s="580"/>
      <c r="DQ33" s="580"/>
      <c r="DR33" s="580"/>
      <c r="DS33" s="580"/>
      <c r="DT33" s="580"/>
      <c r="DU33" s="580"/>
      <c r="DV33" s="580"/>
      <c r="DW33" s="580"/>
      <c r="DX33" s="580"/>
      <c r="DY33" s="580"/>
      <c r="DZ33" s="580"/>
      <c r="EA33" s="580"/>
      <c r="EB33" s="580"/>
      <c r="EC33" s="580"/>
      <c r="ED33" s="580"/>
      <c r="EE33" s="580"/>
      <c r="EF33" s="580"/>
      <c r="EG33" s="580"/>
      <c r="EH33" s="580"/>
      <c r="EI33" s="580"/>
      <c r="EJ33" s="580"/>
      <c r="EK33" s="580"/>
      <c r="EL33" s="580"/>
      <c r="EM33" s="580"/>
      <c r="EN33" s="580"/>
      <c r="EO33" s="580"/>
      <c r="EP33" s="580"/>
      <c r="EQ33" s="580"/>
      <c r="ER33" s="580"/>
      <c r="ES33" s="580"/>
      <c r="ET33" s="580"/>
      <c r="EU33" s="580"/>
      <c r="EV33" s="580"/>
      <c r="EW33" s="580"/>
      <c r="EX33" s="580"/>
      <c r="EY33" s="580"/>
      <c r="EZ33" s="580"/>
      <c r="FA33" s="580"/>
      <c r="FB33" s="580"/>
      <c r="FC33" s="580"/>
      <c r="FD33" s="580"/>
      <c r="FE33" s="580"/>
      <c r="FF33" s="580"/>
      <c r="FG33" s="580"/>
      <c r="FH33" s="580"/>
      <c r="FI33" s="580"/>
      <c r="FJ33" s="580"/>
      <c r="FK33" s="580"/>
      <c r="FL33" s="580"/>
      <c r="FM33" s="580"/>
      <c r="FN33" s="580"/>
      <c r="FO33" s="580"/>
      <c r="FP33" s="580"/>
      <c r="FQ33" s="580"/>
      <c r="FR33" s="580"/>
      <c r="FS33" s="580"/>
      <c r="FT33" s="580"/>
      <c r="FU33" s="580"/>
      <c r="FV33" s="580"/>
      <c r="FW33" s="580"/>
      <c r="FX33" s="580"/>
      <c r="FY33" s="580"/>
      <c r="FZ33" s="580"/>
      <c r="GA33" s="580"/>
      <c r="GB33" s="580"/>
      <c r="GC33" s="580"/>
      <c r="GD33" s="580"/>
      <c r="GE33" s="580"/>
      <c r="GF33" s="580"/>
      <c r="GG33" s="580"/>
      <c r="GH33" s="580"/>
      <c r="GI33" s="580"/>
      <c r="GJ33" s="580"/>
      <c r="GK33" s="580"/>
      <c r="GL33" s="580"/>
      <c r="GM33" s="580"/>
      <c r="GN33" s="580"/>
      <c r="GO33" s="580"/>
      <c r="GP33" s="580"/>
      <c r="GQ33" s="580"/>
      <c r="GR33" s="580"/>
      <c r="GS33" s="580"/>
      <c r="GT33" s="580"/>
      <c r="GU33" s="580"/>
      <c r="GV33" s="580"/>
      <c r="GW33" s="580"/>
      <c r="GX33" s="580"/>
      <c r="GY33" s="580"/>
      <c r="GZ33" s="580"/>
      <c r="HA33" s="580"/>
      <c r="HB33" s="580"/>
      <c r="HC33" s="580"/>
      <c r="HD33" s="580"/>
      <c r="HE33" s="580"/>
      <c r="HF33" s="580"/>
      <c r="HG33" s="580"/>
      <c r="HH33" s="580"/>
      <c r="HI33" s="580"/>
      <c r="HJ33" s="580"/>
      <c r="HK33" s="580"/>
      <c r="HL33" s="580"/>
      <c r="HM33" s="580"/>
      <c r="HN33" s="580"/>
      <c r="HO33" s="580"/>
      <c r="HP33" s="580"/>
      <c r="HQ33" s="580"/>
      <c r="HR33" s="580"/>
      <c r="HS33" s="580"/>
      <c r="HT33" s="580"/>
      <c r="HU33" s="580"/>
      <c r="HV33" s="580"/>
      <c r="HW33" s="580"/>
      <c r="HX33" s="580"/>
      <c r="HY33" s="580"/>
      <c r="HZ33" s="580"/>
      <c r="IA33" s="580"/>
      <c r="IB33" s="580"/>
      <c r="IC33" s="580"/>
      <c r="ID33" s="580"/>
      <c r="IE33" s="580"/>
      <c r="IF33" s="580"/>
      <c r="IG33" s="580"/>
      <c r="IH33" s="580"/>
      <c r="II33" s="580"/>
      <c r="IJ33" s="580"/>
      <c r="IK33" s="580"/>
      <c r="IL33" s="580"/>
      <c r="IM33" s="580"/>
      <c r="IN33" s="580"/>
      <c r="IO33" s="580"/>
      <c r="IP33" s="580"/>
      <c r="IQ33" s="580"/>
      <c r="IR33" s="580"/>
      <c r="IS33" s="580"/>
      <c r="IT33" s="580"/>
      <c r="IU33" s="580"/>
      <c r="IV33" s="580"/>
      <c r="IW33" s="580"/>
    </row>
    <row r="34" spans="2:257" ht="14.45" customHeight="1">
      <c r="B34" s="580"/>
      <c r="C34" s="580"/>
      <c r="D34" s="580"/>
      <c r="E34" s="580"/>
      <c r="F34" s="580"/>
      <c r="G34" s="580"/>
      <c r="H34" s="590"/>
      <c r="I34" s="590"/>
      <c r="J34" s="590"/>
      <c r="K34" s="590"/>
      <c r="L34" s="590"/>
      <c r="M34" s="590"/>
      <c r="N34" s="580"/>
      <c r="O34" s="580"/>
      <c r="P34" s="580"/>
      <c r="Q34" s="580"/>
      <c r="R34" s="580"/>
      <c r="S34" s="580"/>
      <c r="T34" s="580"/>
      <c r="U34" s="580"/>
      <c r="V34" s="580"/>
      <c r="W34" s="580"/>
      <c r="X34" s="580"/>
      <c r="Y34" s="580"/>
      <c r="Z34" s="580"/>
      <c r="AA34" s="580"/>
      <c r="AB34" s="580"/>
      <c r="AC34" s="580"/>
      <c r="AD34" s="580"/>
      <c r="AE34" s="580"/>
      <c r="AF34" s="580"/>
      <c r="AG34" s="580"/>
      <c r="AH34" s="580"/>
      <c r="AI34" s="580"/>
      <c r="AJ34" s="580"/>
      <c r="AK34" s="580"/>
      <c r="AL34" s="580"/>
      <c r="AM34" s="580"/>
      <c r="AN34" s="580"/>
      <c r="AO34" s="580"/>
      <c r="AP34" s="580"/>
      <c r="AQ34" s="580"/>
      <c r="AR34" s="580"/>
      <c r="AS34" s="580"/>
      <c r="AT34" s="580"/>
      <c r="AU34" s="580"/>
      <c r="AV34" s="580"/>
      <c r="AW34" s="580"/>
      <c r="AX34" s="580"/>
      <c r="AY34" s="580"/>
      <c r="AZ34" s="580"/>
      <c r="BA34" s="580"/>
      <c r="BB34" s="580"/>
      <c r="BC34" s="580"/>
      <c r="BD34" s="580"/>
      <c r="BE34" s="580"/>
      <c r="BF34" s="580"/>
      <c r="BG34" s="580"/>
      <c r="BH34" s="580"/>
      <c r="BI34" s="580"/>
      <c r="BJ34" s="580"/>
      <c r="BK34" s="580"/>
      <c r="BL34" s="580"/>
      <c r="BM34" s="580"/>
      <c r="BN34" s="580"/>
      <c r="BO34" s="580"/>
      <c r="BP34" s="580"/>
      <c r="BQ34" s="580"/>
      <c r="BR34" s="580"/>
      <c r="BS34" s="580"/>
      <c r="BT34" s="580"/>
      <c r="BU34" s="580"/>
      <c r="BV34" s="580"/>
      <c r="BW34" s="580"/>
      <c r="BX34" s="580"/>
      <c r="BY34" s="580"/>
      <c r="BZ34" s="580"/>
      <c r="CA34" s="580"/>
      <c r="CB34" s="580"/>
      <c r="CC34" s="580"/>
      <c r="CD34" s="580"/>
      <c r="CE34" s="580"/>
      <c r="CF34" s="580"/>
      <c r="CG34" s="580"/>
      <c r="CH34" s="580"/>
      <c r="CI34" s="580"/>
      <c r="CJ34" s="580"/>
      <c r="CK34" s="580"/>
      <c r="CL34" s="580"/>
      <c r="CM34" s="580"/>
      <c r="CN34" s="580"/>
      <c r="CO34" s="580"/>
      <c r="CP34" s="580"/>
      <c r="CQ34" s="580"/>
      <c r="CR34" s="580"/>
      <c r="CS34" s="580"/>
      <c r="CT34" s="580"/>
      <c r="CU34" s="580"/>
      <c r="CV34" s="580"/>
      <c r="CW34" s="580"/>
      <c r="CX34" s="580"/>
      <c r="CY34" s="580"/>
      <c r="CZ34" s="580"/>
      <c r="DA34" s="580"/>
      <c r="DB34" s="580"/>
      <c r="DC34" s="580"/>
      <c r="DD34" s="580"/>
      <c r="DE34" s="580"/>
      <c r="DF34" s="580"/>
      <c r="DG34" s="580"/>
      <c r="DH34" s="580"/>
      <c r="DI34" s="580"/>
      <c r="DJ34" s="580"/>
      <c r="DK34" s="580"/>
      <c r="DL34" s="580"/>
      <c r="DM34" s="580"/>
      <c r="DN34" s="580"/>
      <c r="DO34" s="580"/>
      <c r="DP34" s="580"/>
      <c r="DQ34" s="580"/>
      <c r="DR34" s="580"/>
      <c r="DS34" s="580"/>
      <c r="DT34" s="580"/>
      <c r="DU34" s="580"/>
      <c r="DV34" s="580"/>
      <c r="DW34" s="580"/>
      <c r="DX34" s="580"/>
      <c r="DY34" s="580"/>
      <c r="DZ34" s="580"/>
      <c r="EA34" s="580"/>
      <c r="EB34" s="580"/>
      <c r="EC34" s="580"/>
      <c r="ED34" s="580"/>
      <c r="EE34" s="580"/>
      <c r="EF34" s="580"/>
      <c r="EG34" s="580"/>
      <c r="EH34" s="580"/>
      <c r="EI34" s="580"/>
      <c r="EJ34" s="580"/>
      <c r="EK34" s="580"/>
      <c r="EL34" s="580"/>
      <c r="EM34" s="580"/>
      <c r="EN34" s="580"/>
      <c r="EO34" s="580"/>
      <c r="EP34" s="580"/>
      <c r="EQ34" s="580"/>
      <c r="ER34" s="580"/>
      <c r="ES34" s="580"/>
      <c r="ET34" s="580"/>
      <c r="EU34" s="580"/>
      <c r="EV34" s="580"/>
      <c r="EW34" s="580"/>
      <c r="EX34" s="580"/>
      <c r="EY34" s="580"/>
      <c r="EZ34" s="580"/>
      <c r="FA34" s="580"/>
      <c r="FB34" s="580"/>
      <c r="FC34" s="580"/>
      <c r="FD34" s="580"/>
      <c r="FE34" s="580"/>
      <c r="FF34" s="580"/>
      <c r="FG34" s="580"/>
      <c r="FH34" s="580"/>
      <c r="FI34" s="580"/>
      <c r="FJ34" s="580"/>
      <c r="FK34" s="580"/>
      <c r="FL34" s="580"/>
      <c r="FM34" s="580"/>
      <c r="FN34" s="580"/>
      <c r="FO34" s="580"/>
      <c r="FP34" s="580"/>
      <c r="FQ34" s="580"/>
      <c r="FR34" s="580"/>
      <c r="FS34" s="580"/>
      <c r="FT34" s="580"/>
      <c r="FU34" s="580"/>
      <c r="FV34" s="580"/>
      <c r="FW34" s="580"/>
      <c r="FX34" s="580"/>
      <c r="FY34" s="580"/>
      <c r="FZ34" s="580"/>
      <c r="GA34" s="580"/>
      <c r="GB34" s="580"/>
      <c r="GC34" s="580"/>
      <c r="GD34" s="580"/>
      <c r="GE34" s="580"/>
      <c r="GF34" s="580"/>
      <c r="GG34" s="580"/>
      <c r="GH34" s="580"/>
      <c r="GI34" s="580"/>
      <c r="GJ34" s="580"/>
      <c r="GK34" s="580"/>
      <c r="GL34" s="580"/>
      <c r="GM34" s="580"/>
      <c r="GN34" s="580"/>
      <c r="GO34" s="580"/>
      <c r="GP34" s="580"/>
      <c r="GQ34" s="580"/>
      <c r="GR34" s="580"/>
      <c r="GS34" s="580"/>
      <c r="GT34" s="580"/>
      <c r="GU34" s="580"/>
      <c r="GV34" s="580"/>
      <c r="GW34" s="580"/>
      <c r="GX34" s="580"/>
      <c r="GY34" s="580"/>
      <c r="GZ34" s="580"/>
      <c r="HA34" s="580"/>
      <c r="HB34" s="580"/>
      <c r="HC34" s="580"/>
      <c r="HD34" s="580"/>
      <c r="HE34" s="580"/>
      <c r="HF34" s="580"/>
      <c r="HG34" s="580"/>
      <c r="HH34" s="580"/>
      <c r="HI34" s="580"/>
      <c r="HJ34" s="580"/>
      <c r="HK34" s="580"/>
      <c r="HL34" s="580"/>
      <c r="HM34" s="580"/>
      <c r="HN34" s="580"/>
      <c r="HO34" s="580"/>
      <c r="HP34" s="580"/>
      <c r="HQ34" s="580"/>
      <c r="HR34" s="580"/>
      <c r="HS34" s="580"/>
      <c r="HT34" s="580"/>
      <c r="HU34" s="580"/>
      <c r="HV34" s="580"/>
      <c r="HW34" s="580"/>
      <c r="HX34" s="580"/>
      <c r="HY34" s="580"/>
      <c r="HZ34" s="580"/>
      <c r="IA34" s="580"/>
      <c r="IB34" s="580"/>
      <c r="IC34" s="580"/>
      <c r="ID34" s="580"/>
      <c r="IE34" s="580"/>
      <c r="IF34" s="580"/>
      <c r="IG34" s="580"/>
      <c r="IH34" s="580"/>
      <c r="II34" s="580"/>
      <c r="IJ34" s="580"/>
      <c r="IK34" s="580"/>
      <c r="IL34" s="580"/>
      <c r="IM34" s="580"/>
      <c r="IN34" s="580"/>
      <c r="IO34" s="580"/>
      <c r="IP34" s="580"/>
      <c r="IQ34" s="580"/>
      <c r="IR34" s="580"/>
      <c r="IS34" s="580"/>
      <c r="IT34" s="580"/>
      <c r="IU34" s="580"/>
      <c r="IV34" s="580"/>
      <c r="IW34" s="580"/>
    </row>
    <row r="35" spans="2:257" s="7" customFormat="1" ht="14.45" customHeight="1">
      <c r="B35" s="580"/>
      <c r="C35" s="580"/>
      <c r="D35" s="580"/>
      <c r="E35" s="580"/>
      <c r="F35" s="580"/>
      <c r="G35" s="580"/>
      <c r="H35" s="590"/>
      <c r="I35" s="590"/>
      <c r="J35" s="590"/>
      <c r="K35" s="590"/>
      <c r="L35" s="590"/>
      <c r="M35" s="590"/>
      <c r="N35" s="580"/>
      <c r="O35" s="580"/>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80"/>
      <c r="AN35" s="580"/>
      <c r="AO35" s="580"/>
      <c r="AP35" s="580"/>
      <c r="AQ35" s="580"/>
      <c r="AR35" s="580"/>
      <c r="AS35" s="580"/>
      <c r="AT35" s="580"/>
      <c r="AU35" s="580"/>
      <c r="AV35" s="580"/>
      <c r="AW35" s="580"/>
      <c r="AX35" s="580"/>
      <c r="AY35" s="580"/>
      <c r="AZ35" s="580"/>
      <c r="BA35" s="580"/>
      <c r="BB35" s="580"/>
      <c r="BC35" s="580"/>
      <c r="BD35" s="580"/>
      <c r="BE35" s="580"/>
      <c r="BF35" s="580"/>
      <c r="BG35" s="580"/>
      <c r="BH35" s="580"/>
      <c r="BI35" s="580"/>
      <c r="BJ35" s="580"/>
      <c r="BK35" s="580"/>
      <c r="BL35" s="580"/>
      <c r="BM35" s="580"/>
      <c r="BN35" s="580"/>
      <c r="BO35" s="580"/>
      <c r="BP35" s="580"/>
      <c r="BQ35" s="580"/>
      <c r="BR35" s="580"/>
      <c r="BS35" s="580"/>
      <c r="BT35" s="580"/>
      <c r="BU35" s="580"/>
      <c r="BV35" s="580"/>
      <c r="BW35" s="580"/>
      <c r="BX35" s="580"/>
      <c r="BY35" s="580"/>
      <c r="BZ35" s="580"/>
      <c r="CA35" s="580"/>
      <c r="CB35" s="580"/>
      <c r="CC35" s="580"/>
      <c r="CD35" s="580"/>
      <c r="CE35" s="580"/>
      <c r="CF35" s="580"/>
      <c r="CG35" s="580"/>
      <c r="CH35" s="580"/>
      <c r="CI35" s="580"/>
      <c r="CJ35" s="580"/>
      <c r="CK35" s="580"/>
      <c r="CL35" s="580"/>
      <c r="CM35" s="580"/>
      <c r="CN35" s="580"/>
      <c r="CO35" s="580"/>
      <c r="CP35" s="580"/>
      <c r="CQ35" s="580"/>
      <c r="CR35" s="580"/>
      <c r="CS35" s="580"/>
      <c r="CT35" s="580"/>
      <c r="CU35" s="580"/>
      <c r="CV35" s="580"/>
      <c r="CW35" s="580"/>
      <c r="CX35" s="580"/>
      <c r="CY35" s="580"/>
      <c r="CZ35" s="580"/>
      <c r="DA35" s="580"/>
      <c r="DB35" s="580"/>
      <c r="DC35" s="580"/>
      <c r="DD35" s="580"/>
      <c r="DE35" s="580"/>
      <c r="DF35" s="580"/>
      <c r="DG35" s="580"/>
      <c r="DH35" s="580"/>
      <c r="DI35" s="580"/>
      <c r="DJ35" s="580"/>
      <c r="DK35" s="580"/>
      <c r="DL35" s="580"/>
      <c r="DM35" s="580"/>
      <c r="DN35" s="580"/>
      <c r="DO35" s="580"/>
      <c r="DP35" s="580"/>
      <c r="DQ35" s="580"/>
      <c r="DR35" s="580"/>
      <c r="DS35" s="580"/>
      <c r="DT35" s="580"/>
      <c r="DU35" s="580"/>
      <c r="DV35" s="580"/>
      <c r="DW35" s="580"/>
      <c r="DX35" s="580"/>
      <c r="DY35" s="580"/>
      <c r="DZ35" s="580"/>
      <c r="EA35" s="580"/>
      <c r="EB35" s="580"/>
      <c r="EC35" s="580"/>
      <c r="ED35" s="580"/>
      <c r="EE35" s="580"/>
      <c r="EF35" s="580"/>
      <c r="EG35" s="580"/>
      <c r="EH35" s="580"/>
      <c r="EI35" s="580"/>
      <c r="EJ35" s="580"/>
      <c r="EK35" s="580"/>
      <c r="EL35" s="580"/>
      <c r="EM35" s="580"/>
      <c r="EN35" s="580"/>
      <c r="EO35" s="580"/>
      <c r="EP35" s="580"/>
      <c r="EQ35" s="580"/>
      <c r="ER35" s="580"/>
      <c r="ES35" s="580"/>
      <c r="ET35" s="580"/>
      <c r="EU35" s="580"/>
      <c r="EV35" s="580"/>
      <c r="EW35" s="580"/>
      <c r="EX35" s="580"/>
      <c r="EY35" s="580"/>
      <c r="EZ35" s="580"/>
      <c r="FA35" s="580"/>
      <c r="FB35" s="580"/>
      <c r="FC35" s="580"/>
      <c r="FD35" s="580"/>
      <c r="FE35" s="580"/>
      <c r="FF35" s="580"/>
      <c r="FG35" s="580"/>
      <c r="FH35" s="580"/>
      <c r="FI35" s="580"/>
      <c r="FJ35" s="580"/>
      <c r="FK35" s="580"/>
      <c r="FL35" s="580"/>
      <c r="FM35" s="580"/>
      <c r="FN35" s="580"/>
      <c r="FO35" s="580"/>
      <c r="FP35" s="580"/>
      <c r="FQ35" s="580"/>
      <c r="FR35" s="580"/>
      <c r="FS35" s="580"/>
      <c r="FT35" s="580"/>
      <c r="FU35" s="580"/>
      <c r="FV35" s="580"/>
      <c r="FW35" s="580"/>
      <c r="FX35" s="580"/>
      <c r="FY35" s="580"/>
      <c r="FZ35" s="580"/>
      <c r="GA35" s="580"/>
      <c r="GB35" s="580"/>
      <c r="GC35" s="580"/>
      <c r="GD35" s="580"/>
      <c r="GE35" s="580"/>
      <c r="GF35" s="580"/>
      <c r="GG35" s="580"/>
      <c r="GH35" s="580"/>
      <c r="GI35" s="580"/>
      <c r="GJ35" s="580"/>
      <c r="GK35" s="580"/>
      <c r="GL35" s="580"/>
      <c r="GM35" s="580"/>
      <c r="GN35" s="580"/>
      <c r="GO35" s="580"/>
      <c r="GP35" s="580"/>
      <c r="GQ35" s="580"/>
      <c r="GR35" s="580"/>
      <c r="GS35" s="580"/>
      <c r="GT35" s="580"/>
      <c r="GU35" s="580"/>
      <c r="GV35" s="580"/>
      <c r="GW35" s="580"/>
      <c r="GX35" s="580"/>
      <c r="GY35" s="580"/>
      <c r="GZ35" s="580"/>
      <c r="HA35" s="580"/>
      <c r="HB35" s="580"/>
      <c r="HC35" s="580"/>
      <c r="HD35" s="580"/>
      <c r="HE35" s="580"/>
      <c r="HF35" s="580"/>
      <c r="HG35" s="580"/>
      <c r="HH35" s="580"/>
      <c r="HI35" s="580"/>
      <c r="HJ35" s="580"/>
      <c r="HK35" s="580"/>
      <c r="HL35" s="580"/>
      <c r="HM35" s="580"/>
      <c r="HN35" s="580"/>
      <c r="HO35" s="580"/>
      <c r="HP35" s="580"/>
      <c r="HQ35" s="580"/>
      <c r="HR35" s="580"/>
      <c r="HS35" s="580"/>
      <c r="HT35" s="580"/>
      <c r="HU35" s="580"/>
      <c r="HV35" s="580"/>
      <c r="HW35" s="580"/>
      <c r="HX35" s="580"/>
      <c r="HY35" s="580"/>
      <c r="HZ35" s="580"/>
      <c r="IA35" s="580"/>
      <c r="IB35" s="580"/>
      <c r="IC35" s="580"/>
      <c r="ID35" s="580"/>
      <c r="IE35" s="580"/>
      <c r="IF35" s="580"/>
      <c r="IG35" s="580"/>
      <c r="IH35" s="580"/>
      <c r="II35" s="580"/>
      <c r="IJ35" s="580"/>
      <c r="IK35" s="580"/>
      <c r="IL35" s="580"/>
      <c r="IM35" s="580"/>
      <c r="IN35" s="580"/>
      <c r="IO35" s="580"/>
      <c r="IP35" s="580"/>
      <c r="IQ35" s="580"/>
      <c r="IR35" s="580"/>
      <c r="IS35" s="580"/>
      <c r="IT35" s="580"/>
      <c r="IU35" s="580"/>
      <c r="IV35" s="580"/>
      <c r="IW35" s="580"/>
    </row>
    <row r="36" spans="2:257" s="8" customFormat="1" ht="28.15" customHeight="1">
      <c r="B36" s="607"/>
      <c r="C36" s="607"/>
      <c r="D36" s="607"/>
      <c r="E36" s="700" t="s">
        <v>977</v>
      </c>
      <c r="F36" s="705"/>
      <c r="G36" s="705"/>
      <c r="H36" s="705"/>
      <c r="I36" s="705"/>
      <c r="J36" s="705"/>
      <c r="K36" s="705"/>
      <c r="L36" s="705"/>
      <c r="M36" s="705"/>
      <c r="N36" s="705"/>
      <c r="O36" s="701"/>
      <c r="P36" s="616" t="s">
        <v>13</v>
      </c>
      <c r="Q36" s="700" t="s">
        <v>14</v>
      </c>
      <c r="R36" s="701"/>
      <c r="S36" s="608"/>
      <c r="T36" s="603"/>
      <c r="U36" s="603"/>
      <c r="V36" s="603"/>
      <c r="W36" s="607"/>
      <c r="X36" s="607"/>
      <c r="Y36" s="607"/>
      <c r="Z36" s="607"/>
      <c r="AA36" s="607"/>
      <c r="AB36" s="607"/>
      <c r="AC36" s="607"/>
      <c r="AD36" s="607"/>
      <c r="AE36" s="607"/>
      <c r="AF36" s="607"/>
      <c r="AG36" s="607"/>
      <c r="AH36" s="607"/>
      <c r="AI36" s="607"/>
      <c r="AJ36" s="607"/>
      <c r="AK36" s="607"/>
      <c r="AL36" s="607"/>
      <c r="AM36" s="607"/>
      <c r="AN36" s="607"/>
      <c r="AO36" s="607"/>
      <c r="AP36" s="607"/>
      <c r="AQ36" s="607"/>
      <c r="AR36" s="607"/>
      <c r="AS36" s="607"/>
      <c r="AT36" s="607"/>
      <c r="AU36" s="607"/>
      <c r="AV36" s="607"/>
      <c r="AW36" s="607"/>
      <c r="AX36" s="607"/>
      <c r="AY36" s="607"/>
      <c r="AZ36" s="607"/>
      <c r="BA36" s="607"/>
      <c r="BB36" s="607"/>
      <c r="BC36" s="607"/>
      <c r="BD36" s="607"/>
      <c r="BE36" s="607"/>
      <c r="BF36" s="607"/>
      <c r="BG36" s="607"/>
      <c r="BH36" s="607"/>
      <c r="BI36" s="607"/>
      <c r="BJ36" s="607"/>
      <c r="BK36" s="607"/>
      <c r="BL36" s="607"/>
      <c r="BM36" s="607"/>
      <c r="BN36" s="607"/>
      <c r="BO36" s="607"/>
      <c r="BP36" s="607"/>
      <c r="BQ36" s="607"/>
      <c r="BR36" s="607"/>
      <c r="BS36" s="607"/>
      <c r="BT36" s="607"/>
      <c r="BU36" s="607"/>
      <c r="BV36" s="607"/>
      <c r="BW36" s="607"/>
      <c r="BX36" s="607"/>
      <c r="BY36" s="607"/>
      <c r="BZ36" s="607"/>
      <c r="CA36" s="607"/>
      <c r="CB36" s="607"/>
      <c r="CC36" s="607"/>
      <c r="CD36" s="607"/>
      <c r="CE36" s="607"/>
      <c r="CF36" s="607"/>
      <c r="CG36" s="607"/>
      <c r="CH36" s="607"/>
      <c r="CI36" s="607"/>
      <c r="CJ36" s="607"/>
      <c r="CK36" s="607"/>
      <c r="CL36" s="607"/>
      <c r="CM36" s="607"/>
      <c r="CN36" s="607"/>
      <c r="CO36" s="607"/>
      <c r="CP36" s="607"/>
      <c r="CQ36" s="607"/>
      <c r="CR36" s="607"/>
      <c r="CS36" s="607"/>
      <c r="CT36" s="607"/>
      <c r="CU36" s="607"/>
      <c r="CV36" s="607"/>
      <c r="CW36" s="607"/>
      <c r="CX36" s="607"/>
      <c r="CY36" s="607"/>
      <c r="CZ36" s="607"/>
      <c r="DA36" s="607"/>
      <c r="DB36" s="607"/>
      <c r="DC36" s="607"/>
      <c r="DD36" s="607"/>
      <c r="DE36" s="607"/>
      <c r="DF36" s="607"/>
      <c r="DG36" s="607"/>
      <c r="DH36" s="607"/>
      <c r="DI36" s="607"/>
      <c r="DJ36" s="607"/>
      <c r="DK36" s="607"/>
      <c r="DL36" s="607"/>
      <c r="DM36" s="607"/>
      <c r="DN36" s="607"/>
      <c r="DO36" s="607"/>
      <c r="DP36" s="607"/>
      <c r="DQ36" s="607"/>
      <c r="DR36" s="607"/>
      <c r="DS36" s="607"/>
      <c r="DT36" s="607"/>
      <c r="DU36" s="607"/>
      <c r="DV36" s="607"/>
      <c r="DW36" s="607"/>
      <c r="DX36" s="607"/>
      <c r="DY36" s="607"/>
      <c r="DZ36" s="607"/>
      <c r="EA36" s="607"/>
      <c r="EB36" s="607"/>
      <c r="EC36" s="607"/>
      <c r="ED36" s="607"/>
      <c r="EE36" s="607"/>
      <c r="EF36" s="607"/>
      <c r="EG36" s="607"/>
      <c r="EH36" s="607"/>
      <c r="EI36" s="607"/>
      <c r="EJ36" s="607"/>
      <c r="EK36" s="607"/>
      <c r="EL36" s="607"/>
      <c r="EM36" s="607"/>
      <c r="EN36" s="607"/>
      <c r="EO36" s="607"/>
      <c r="EP36" s="607"/>
      <c r="EQ36" s="607"/>
      <c r="ER36" s="607"/>
      <c r="ES36" s="607"/>
      <c r="ET36" s="607"/>
      <c r="EU36" s="607"/>
      <c r="EV36" s="607"/>
      <c r="EW36" s="607"/>
      <c r="EX36" s="607"/>
      <c r="EY36" s="607"/>
      <c r="EZ36" s="607"/>
      <c r="FA36" s="607"/>
      <c r="FB36" s="607"/>
      <c r="FC36" s="607"/>
      <c r="FD36" s="607"/>
      <c r="FE36" s="607"/>
      <c r="FF36" s="607"/>
      <c r="FG36" s="607"/>
      <c r="FH36" s="607"/>
      <c r="FI36" s="607"/>
      <c r="FJ36" s="607"/>
      <c r="FK36" s="607"/>
      <c r="FL36" s="607"/>
      <c r="FM36" s="607"/>
      <c r="FN36" s="607"/>
      <c r="FO36" s="607"/>
      <c r="FP36" s="607"/>
      <c r="FQ36" s="607"/>
      <c r="FR36" s="607"/>
      <c r="FS36" s="607"/>
      <c r="FT36" s="607"/>
      <c r="FU36" s="607"/>
      <c r="FV36" s="607"/>
      <c r="FW36" s="607"/>
      <c r="FX36" s="607"/>
      <c r="FY36" s="607"/>
      <c r="FZ36" s="607"/>
      <c r="GA36" s="607"/>
      <c r="GB36" s="607"/>
      <c r="GC36" s="607"/>
      <c r="GD36" s="607"/>
      <c r="GE36" s="607"/>
      <c r="GF36" s="607"/>
      <c r="GG36" s="607"/>
      <c r="GH36" s="607"/>
      <c r="GI36" s="607"/>
      <c r="GJ36" s="607"/>
      <c r="GK36" s="607"/>
      <c r="GL36" s="607"/>
      <c r="GM36" s="607"/>
      <c r="GN36" s="607"/>
      <c r="GO36" s="607"/>
      <c r="GP36" s="607"/>
      <c r="GQ36" s="607"/>
      <c r="GR36" s="607"/>
      <c r="GS36" s="607"/>
      <c r="GT36" s="607"/>
      <c r="GU36" s="607"/>
      <c r="GV36" s="607"/>
      <c r="GW36" s="607"/>
      <c r="GX36" s="607"/>
      <c r="GY36" s="607"/>
      <c r="GZ36" s="607"/>
      <c r="HA36" s="607"/>
      <c r="HB36" s="607"/>
      <c r="HC36" s="607"/>
      <c r="HD36" s="607"/>
      <c r="HE36" s="607"/>
      <c r="HF36" s="607"/>
      <c r="HG36" s="607"/>
      <c r="HH36" s="607"/>
      <c r="HI36" s="607"/>
      <c r="HJ36" s="607"/>
      <c r="HK36" s="607"/>
      <c r="HL36" s="607"/>
      <c r="HM36" s="607"/>
      <c r="HN36" s="607"/>
      <c r="HO36" s="607"/>
      <c r="HP36" s="607"/>
      <c r="HQ36" s="607"/>
      <c r="HR36" s="607"/>
      <c r="HS36" s="607"/>
      <c r="HT36" s="607"/>
      <c r="HU36" s="607"/>
      <c r="HV36" s="607"/>
      <c r="HW36" s="607"/>
      <c r="HX36" s="607"/>
      <c r="HY36" s="607"/>
      <c r="HZ36" s="607"/>
      <c r="IA36" s="607"/>
      <c r="IB36" s="607"/>
      <c r="IC36" s="607"/>
      <c r="ID36" s="607"/>
      <c r="IE36" s="607"/>
      <c r="IF36" s="607"/>
      <c r="IG36" s="607"/>
      <c r="IH36" s="607"/>
      <c r="II36" s="607"/>
      <c r="IJ36" s="607"/>
      <c r="IK36" s="607"/>
      <c r="IL36" s="607"/>
      <c r="IM36" s="607"/>
      <c r="IN36" s="607"/>
      <c r="IO36" s="607"/>
      <c r="IP36" s="607"/>
      <c r="IQ36" s="607"/>
      <c r="IR36" s="607"/>
      <c r="IS36" s="607"/>
      <c r="IT36" s="607"/>
      <c r="IU36" s="607"/>
      <c r="IV36" s="607"/>
      <c r="IW36" s="607"/>
    </row>
    <row r="37" spans="2:257" s="8" customFormat="1" ht="15.2" customHeight="1">
      <c r="B37" s="607"/>
      <c r="C37" s="607"/>
      <c r="D37" s="607"/>
      <c r="E37" s="702"/>
      <c r="F37" s="703"/>
      <c r="G37" s="703"/>
      <c r="H37" s="703"/>
      <c r="I37" s="703"/>
      <c r="J37" s="703"/>
      <c r="K37" s="703"/>
      <c r="L37" s="703"/>
      <c r="M37" s="703"/>
      <c r="N37" s="703"/>
      <c r="O37" s="704"/>
      <c r="P37" s="617"/>
      <c r="Q37" s="700"/>
      <c r="R37" s="701"/>
      <c r="S37" s="608"/>
      <c r="T37" s="607"/>
      <c r="U37" s="607"/>
      <c r="V37" s="607"/>
      <c r="W37" s="607"/>
      <c r="X37" s="607"/>
      <c r="Y37" s="607"/>
      <c r="Z37" s="607"/>
      <c r="AA37" s="607"/>
      <c r="AB37" s="607"/>
      <c r="AC37" s="607"/>
      <c r="AD37" s="607"/>
      <c r="AE37" s="607"/>
      <c r="AF37" s="607"/>
      <c r="AG37" s="607"/>
      <c r="AH37" s="607"/>
      <c r="AI37" s="607"/>
      <c r="AJ37" s="607"/>
      <c r="AK37" s="607"/>
      <c r="AL37" s="607"/>
      <c r="AM37" s="607"/>
      <c r="AN37" s="607"/>
      <c r="AO37" s="607"/>
      <c r="AP37" s="607"/>
      <c r="AQ37" s="607"/>
      <c r="AR37" s="607"/>
      <c r="AS37" s="607"/>
      <c r="AT37" s="607"/>
      <c r="AU37" s="607"/>
      <c r="AV37" s="607"/>
      <c r="AW37" s="607"/>
      <c r="AX37" s="607"/>
      <c r="AY37" s="607"/>
      <c r="AZ37" s="607"/>
      <c r="BA37" s="607"/>
      <c r="BB37" s="607"/>
      <c r="BC37" s="607"/>
      <c r="BD37" s="607"/>
      <c r="BE37" s="607"/>
      <c r="BF37" s="607"/>
      <c r="BG37" s="607"/>
      <c r="BH37" s="607"/>
      <c r="BI37" s="607"/>
      <c r="BJ37" s="607"/>
      <c r="BK37" s="607"/>
      <c r="BL37" s="607"/>
      <c r="BM37" s="607"/>
      <c r="BN37" s="607"/>
      <c r="BO37" s="607"/>
      <c r="BP37" s="607"/>
      <c r="BQ37" s="607"/>
      <c r="BR37" s="607"/>
      <c r="BS37" s="607"/>
      <c r="BT37" s="607"/>
      <c r="BU37" s="607"/>
      <c r="BV37" s="607"/>
      <c r="BW37" s="607"/>
      <c r="BX37" s="607"/>
      <c r="BY37" s="607"/>
      <c r="BZ37" s="607"/>
      <c r="CA37" s="607"/>
      <c r="CB37" s="607"/>
      <c r="CC37" s="607"/>
      <c r="CD37" s="607"/>
      <c r="CE37" s="607"/>
      <c r="CF37" s="607"/>
      <c r="CG37" s="607"/>
      <c r="CH37" s="607"/>
      <c r="CI37" s="607"/>
      <c r="CJ37" s="607"/>
      <c r="CK37" s="607"/>
      <c r="CL37" s="607"/>
      <c r="CM37" s="607"/>
      <c r="CN37" s="607"/>
      <c r="CO37" s="607"/>
      <c r="CP37" s="607"/>
      <c r="CQ37" s="607"/>
      <c r="CR37" s="607"/>
      <c r="CS37" s="607"/>
      <c r="CT37" s="607"/>
      <c r="CU37" s="607"/>
      <c r="CV37" s="607"/>
      <c r="CW37" s="607"/>
      <c r="CX37" s="607"/>
      <c r="CY37" s="607"/>
      <c r="CZ37" s="607"/>
      <c r="DA37" s="607"/>
      <c r="DB37" s="607"/>
      <c r="DC37" s="607"/>
      <c r="DD37" s="607"/>
      <c r="DE37" s="607"/>
      <c r="DF37" s="607"/>
      <c r="DG37" s="607"/>
      <c r="DH37" s="607"/>
      <c r="DI37" s="607"/>
      <c r="DJ37" s="607"/>
      <c r="DK37" s="607"/>
      <c r="DL37" s="607"/>
      <c r="DM37" s="607"/>
      <c r="DN37" s="607"/>
      <c r="DO37" s="607"/>
      <c r="DP37" s="607"/>
      <c r="DQ37" s="607"/>
      <c r="DR37" s="607"/>
      <c r="DS37" s="607"/>
      <c r="DT37" s="607"/>
      <c r="DU37" s="607"/>
      <c r="DV37" s="607"/>
      <c r="DW37" s="607"/>
      <c r="DX37" s="607"/>
      <c r="DY37" s="607"/>
      <c r="DZ37" s="607"/>
      <c r="EA37" s="607"/>
      <c r="EB37" s="607"/>
      <c r="EC37" s="607"/>
      <c r="ED37" s="607"/>
      <c r="EE37" s="607"/>
      <c r="EF37" s="607"/>
      <c r="EG37" s="607"/>
      <c r="EH37" s="607"/>
      <c r="EI37" s="607"/>
      <c r="EJ37" s="607"/>
      <c r="EK37" s="607"/>
      <c r="EL37" s="607"/>
      <c r="EM37" s="607"/>
      <c r="EN37" s="607"/>
      <c r="EO37" s="607"/>
      <c r="EP37" s="607"/>
      <c r="EQ37" s="607"/>
      <c r="ER37" s="607"/>
      <c r="ES37" s="607"/>
      <c r="ET37" s="607"/>
      <c r="EU37" s="607"/>
      <c r="EV37" s="607"/>
      <c r="EW37" s="607"/>
      <c r="EX37" s="607"/>
      <c r="EY37" s="607"/>
      <c r="EZ37" s="607"/>
      <c r="FA37" s="607"/>
      <c r="FB37" s="607"/>
      <c r="FC37" s="607"/>
      <c r="FD37" s="607"/>
      <c r="FE37" s="607"/>
      <c r="FF37" s="607"/>
      <c r="FG37" s="607"/>
      <c r="FH37" s="607"/>
      <c r="FI37" s="607"/>
      <c r="FJ37" s="607"/>
      <c r="FK37" s="607"/>
      <c r="FL37" s="607"/>
      <c r="FM37" s="607"/>
      <c r="FN37" s="607"/>
      <c r="FO37" s="607"/>
      <c r="FP37" s="607"/>
      <c r="FQ37" s="607"/>
      <c r="FR37" s="607"/>
      <c r="FS37" s="607"/>
      <c r="FT37" s="607"/>
      <c r="FU37" s="607"/>
      <c r="FV37" s="607"/>
      <c r="FW37" s="607"/>
      <c r="FX37" s="607"/>
      <c r="FY37" s="607"/>
      <c r="FZ37" s="607"/>
      <c r="GA37" s="607"/>
      <c r="GB37" s="607"/>
      <c r="GC37" s="607"/>
      <c r="GD37" s="607"/>
      <c r="GE37" s="607"/>
      <c r="GF37" s="607"/>
      <c r="GG37" s="607"/>
      <c r="GH37" s="607"/>
      <c r="GI37" s="607"/>
      <c r="GJ37" s="607"/>
      <c r="GK37" s="607"/>
      <c r="GL37" s="607"/>
      <c r="GM37" s="607"/>
      <c r="GN37" s="607"/>
      <c r="GO37" s="607"/>
      <c r="GP37" s="607"/>
      <c r="GQ37" s="607"/>
      <c r="GR37" s="607"/>
      <c r="GS37" s="607"/>
      <c r="GT37" s="607"/>
      <c r="GU37" s="607"/>
      <c r="GV37" s="607"/>
      <c r="GW37" s="607"/>
      <c r="GX37" s="607"/>
      <c r="GY37" s="607"/>
      <c r="GZ37" s="607"/>
      <c r="HA37" s="607"/>
      <c r="HB37" s="607"/>
      <c r="HC37" s="607"/>
      <c r="HD37" s="607"/>
      <c r="HE37" s="607"/>
      <c r="HF37" s="607"/>
      <c r="HG37" s="607"/>
      <c r="HH37" s="607"/>
      <c r="HI37" s="607"/>
      <c r="HJ37" s="607"/>
      <c r="HK37" s="607"/>
      <c r="HL37" s="607"/>
      <c r="HM37" s="607"/>
      <c r="HN37" s="607"/>
      <c r="HO37" s="607"/>
      <c r="HP37" s="607"/>
      <c r="HQ37" s="607"/>
      <c r="HR37" s="607"/>
      <c r="HS37" s="607"/>
      <c r="HT37" s="607"/>
      <c r="HU37" s="607"/>
      <c r="HV37" s="607"/>
      <c r="HW37" s="607"/>
      <c r="HX37" s="607"/>
      <c r="HY37" s="607"/>
      <c r="HZ37" s="607"/>
      <c r="IA37" s="607"/>
      <c r="IB37" s="607"/>
      <c r="IC37" s="607"/>
      <c r="ID37" s="607"/>
      <c r="IE37" s="607"/>
      <c r="IF37" s="607"/>
      <c r="IG37" s="607"/>
      <c r="IH37" s="607"/>
      <c r="II37" s="607"/>
      <c r="IJ37" s="607"/>
      <c r="IK37" s="607"/>
      <c r="IL37" s="607"/>
      <c r="IM37" s="607"/>
      <c r="IN37" s="607"/>
      <c r="IO37" s="607"/>
      <c r="IP37" s="607"/>
      <c r="IQ37" s="607"/>
      <c r="IR37" s="607"/>
      <c r="IS37" s="607"/>
      <c r="IT37" s="607"/>
      <c r="IU37" s="607"/>
      <c r="IV37" s="607"/>
      <c r="IW37" s="607"/>
    </row>
    <row r="38" spans="2:257" s="8" customFormat="1" ht="14.45" customHeight="1">
      <c r="B38" s="607"/>
      <c r="C38" s="607"/>
      <c r="D38" s="607"/>
      <c r="E38" s="702"/>
      <c r="F38" s="703"/>
      <c r="G38" s="703"/>
      <c r="H38" s="703"/>
      <c r="I38" s="703"/>
      <c r="J38" s="703"/>
      <c r="K38" s="703"/>
      <c r="L38" s="703"/>
      <c r="M38" s="703"/>
      <c r="N38" s="703"/>
      <c r="O38" s="704"/>
      <c r="P38" s="617"/>
      <c r="Q38" s="700"/>
      <c r="R38" s="701"/>
      <c r="S38" s="608"/>
      <c r="T38" s="607"/>
      <c r="U38" s="607"/>
      <c r="V38" s="607"/>
      <c r="W38" s="607"/>
      <c r="X38" s="607"/>
      <c r="Y38" s="607"/>
      <c r="Z38" s="607"/>
      <c r="AA38" s="607"/>
      <c r="AB38" s="607"/>
      <c r="AC38" s="607"/>
      <c r="AD38" s="607"/>
      <c r="AE38" s="607"/>
      <c r="AF38" s="607"/>
      <c r="AG38" s="607"/>
      <c r="AH38" s="607"/>
      <c r="AI38" s="607"/>
      <c r="AJ38" s="607"/>
      <c r="AK38" s="607"/>
      <c r="AL38" s="607"/>
      <c r="AM38" s="607"/>
      <c r="AN38" s="607"/>
      <c r="AO38" s="607"/>
      <c r="AP38" s="607"/>
      <c r="AQ38" s="607"/>
      <c r="AR38" s="607"/>
      <c r="AS38" s="607"/>
      <c r="AT38" s="607"/>
      <c r="AU38" s="607"/>
      <c r="AV38" s="607"/>
      <c r="AW38" s="607"/>
      <c r="AX38" s="607"/>
      <c r="AY38" s="607"/>
      <c r="AZ38" s="607"/>
      <c r="BA38" s="607"/>
      <c r="BB38" s="607"/>
      <c r="BC38" s="607"/>
      <c r="BD38" s="607"/>
      <c r="BE38" s="607"/>
      <c r="BF38" s="607"/>
      <c r="BG38" s="607"/>
      <c r="BH38" s="607"/>
      <c r="BI38" s="607"/>
      <c r="BJ38" s="607"/>
      <c r="BK38" s="607"/>
      <c r="BL38" s="607"/>
      <c r="BM38" s="607"/>
      <c r="BN38" s="607"/>
      <c r="BO38" s="607"/>
      <c r="BP38" s="607"/>
      <c r="BQ38" s="607"/>
      <c r="BR38" s="607"/>
      <c r="BS38" s="607"/>
      <c r="BT38" s="607"/>
      <c r="BU38" s="607"/>
      <c r="BV38" s="607"/>
      <c r="BW38" s="607"/>
      <c r="BX38" s="607"/>
      <c r="BY38" s="607"/>
      <c r="BZ38" s="607"/>
      <c r="CA38" s="607"/>
      <c r="CB38" s="607"/>
      <c r="CC38" s="607"/>
      <c r="CD38" s="607"/>
      <c r="CE38" s="607"/>
      <c r="CF38" s="607"/>
      <c r="CG38" s="607"/>
      <c r="CH38" s="607"/>
      <c r="CI38" s="607"/>
      <c r="CJ38" s="607"/>
      <c r="CK38" s="607"/>
      <c r="CL38" s="607"/>
      <c r="CM38" s="607"/>
      <c r="CN38" s="607"/>
      <c r="CO38" s="607"/>
      <c r="CP38" s="607"/>
      <c r="CQ38" s="607"/>
      <c r="CR38" s="607"/>
      <c r="CS38" s="607"/>
      <c r="CT38" s="607"/>
      <c r="CU38" s="607"/>
      <c r="CV38" s="607"/>
      <c r="CW38" s="607"/>
      <c r="CX38" s="607"/>
      <c r="CY38" s="607"/>
      <c r="CZ38" s="607"/>
      <c r="DA38" s="607"/>
      <c r="DB38" s="607"/>
      <c r="DC38" s="607"/>
      <c r="DD38" s="607"/>
      <c r="DE38" s="607"/>
      <c r="DF38" s="607"/>
      <c r="DG38" s="607"/>
      <c r="DH38" s="607"/>
      <c r="DI38" s="607"/>
      <c r="DJ38" s="607"/>
      <c r="DK38" s="607"/>
      <c r="DL38" s="607"/>
      <c r="DM38" s="607"/>
      <c r="DN38" s="607"/>
      <c r="DO38" s="607"/>
      <c r="DP38" s="607"/>
      <c r="DQ38" s="607"/>
      <c r="DR38" s="607"/>
      <c r="DS38" s="607"/>
      <c r="DT38" s="607"/>
      <c r="DU38" s="607"/>
      <c r="DV38" s="607"/>
      <c r="DW38" s="607"/>
      <c r="DX38" s="607"/>
      <c r="DY38" s="607"/>
      <c r="DZ38" s="607"/>
      <c r="EA38" s="607"/>
      <c r="EB38" s="607"/>
      <c r="EC38" s="607"/>
      <c r="ED38" s="607"/>
      <c r="EE38" s="607"/>
      <c r="EF38" s="607"/>
      <c r="EG38" s="607"/>
      <c r="EH38" s="607"/>
      <c r="EI38" s="607"/>
      <c r="EJ38" s="607"/>
      <c r="EK38" s="607"/>
      <c r="EL38" s="607"/>
      <c r="EM38" s="607"/>
      <c r="EN38" s="607"/>
      <c r="EO38" s="607"/>
      <c r="EP38" s="607"/>
      <c r="EQ38" s="607"/>
      <c r="ER38" s="607"/>
      <c r="ES38" s="607"/>
      <c r="ET38" s="607"/>
      <c r="EU38" s="607"/>
      <c r="EV38" s="607"/>
      <c r="EW38" s="607"/>
      <c r="EX38" s="607"/>
      <c r="EY38" s="607"/>
      <c r="EZ38" s="607"/>
      <c r="FA38" s="607"/>
      <c r="FB38" s="607"/>
      <c r="FC38" s="607"/>
      <c r="FD38" s="607"/>
      <c r="FE38" s="607"/>
      <c r="FF38" s="607"/>
      <c r="FG38" s="607"/>
      <c r="FH38" s="607"/>
      <c r="FI38" s="607"/>
      <c r="FJ38" s="607"/>
      <c r="FK38" s="607"/>
      <c r="FL38" s="607"/>
      <c r="FM38" s="607"/>
      <c r="FN38" s="607"/>
      <c r="FO38" s="607"/>
      <c r="FP38" s="607"/>
      <c r="FQ38" s="607"/>
      <c r="FR38" s="607"/>
      <c r="FS38" s="607"/>
      <c r="FT38" s="607"/>
      <c r="FU38" s="607"/>
      <c r="FV38" s="607"/>
      <c r="FW38" s="607"/>
      <c r="FX38" s="607"/>
      <c r="FY38" s="607"/>
      <c r="FZ38" s="607"/>
      <c r="GA38" s="607"/>
      <c r="GB38" s="607"/>
      <c r="GC38" s="607"/>
      <c r="GD38" s="607"/>
      <c r="GE38" s="607"/>
      <c r="GF38" s="607"/>
      <c r="GG38" s="607"/>
      <c r="GH38" s="607"/>
      <c r="GI38" s="607"/>
      <c r="GJ38" s="607"/>
      <c r="GK38" s="607"/>
      <c r="GL38" s="607"/>
      <c r="GM38" s="607"/>
      <c r="GN38" s="607"/>
      <c r="GO38" s="607"/>
      <c r="GP38" s="607"/>
      <c r="GQ38" s="607"/>
      <c r="GR38" s="607"/>
      <c r="GS38" s="607"/>
      <c r="GT38" s="607"/>
      <c r="GU38" s="607"/>
      <c r="GV38" s="607"/>
      <c r="GW38" s="607"/>
      <c r="GX38" s="607"/>
      <c r="GY38" s="607"/>
      <c r="GZ38" s="607"/>
      <c r="HA38" s="607"/>
      <c r="HB38" s="607"/>
      <c r="HC38" s="607"/>
      <c r="HD38" s="607"/>
      <c r="HE38" s="607"/>
      <c r="HF38" s="607"/>
      <c r="HG38" s="607"/>
      <c r="HH38" s="607"/>
      <c r="HI38" s="607"/>
      <c r="HJ38" s="607"/>
      <c r="HK38" s="607"/>
      <c r="HL38" s="607"/>
      <c r="HM38" s="607"/>
      <c r="HN38" s="607"/>
      <c r="HO38" s="607"/>
      <c r="HP38" s="607"/>
      <c r="HQ38" s="607"/>
      <c r="HR38" s="607"/>
      <c r="HS38" s="607"/>
      <c r="HT38" s="607"/>
      <c r="HU38" s="607"/>
      <c r="HV38" s="607"/>
      <c r="HW38" s="607"/>
      <c r="HX38" s="607"/>
      <c r="HY38" s="607"/>
      <c r="HZ38" s="607"/>
      <c r="IA38" s="607"/>
      <c r="IB38" s="607"/>
      <c r="IC38" s="607"/>
      <c r="ID38" s="607"/>
      <c r="IE38" s="607"/>
      <c r="IF38" s="607"/>
      <c r="IG38" s="607"/>
      <c r="IH38" s="607"/>
      <c r="II38" s="607"/>
      <c r="IJ38" s="607"/>
      <c r="IK38" s="607"/>
      <c r="IL38" s="607"/>
      <c r="IM38" s="607"/>
      <c r="IN38" s="607"/>
      <c r="IO38" s="607"/>
      <c r="IP38" s="607"/>
      <c r="IQ38" s="607"/>
      <c r="IR38" s="607"/>
      <c r="IS38" s="607"/>
      <c r="IT38" s="607"/>
      <c r="IU38" s="607"/>
      <c r="IV38" s="607"/>
      <c r="IW38" s="607"/>
    </row>
    <row r="39" spans="2:257" s="8" customFormat="1" ht="14.45" customHeight="1">
      <c r="B39" s="607"/>
      <c r="C39" s="607"/>
      <c r="D39" s="607"/>
      <c r="E39" s="618"/>
      <c r="F39" s="609"/>
      <c r="G39" s="609"/>
      <c r="H39" s="609"/>
      <c r="I39" s="609"/>
      <c r="J39" s="609"/>
      <c r="K39" s="609"/>
      <c r="L39" s="609"/>
      <c r="M39" s="609"/>
      <c r="N39" s="609"/>
      <c r="O39" s="619"/>
      <c r="P39" s="617"/>
      <c r="Q39" s="700"/>
      <c r="R39" s="701"/>
      <c r="S39" s="610"/>
      <c r="T39" s="607"/>
      <c r="U39" s="607"/>
      <c r="V39" s="607"/>
      <c r="W39" s="607"/>
      <c r="X39" s="607"/>
      <c r="Y39" s="607"/>
      <c r="Z39" s="607"/>
      <c r="AA39" s="607"/>
      <c r="AB39" s="607"/>
      <c r="AC39" s="607"/>
      <c r="AD39" s="607"/>
      <c r="AE39" s="607"/>
      <c r="AF39" s="607"/>
      <c r="AG39" s="607"/>
      <c r="AH39" s="607"/>
      <c r="AI39" s="607"/>
      <c r="AJ39" s="607"/>
      <c r="AK39" s="607"/>
      <c r="AL39" s="607"/>
      <c r="AM39" s="607"/>
      <c r="AN39" s="607"/>
      <c r="AO39" s="607"/>
      <c r="AP39" s="607"/>
      <c r="AQ39" s="607"/>
      <c r="AR39" s="607"/>
      <c r="AS39" s="607"/>
      <c r="AT39" s="607"/>
      <c r="AU39" s="607"/>
      <c r="AV39" s="607"/>
      <c r="AW39" s="607"/>
      <c r="AX39" s="607"/>
      <c r="AY39" s="607"/>
      <c r="AZ39" s="607"/>
      <c r="BA39" s="607"/>
      <c r="BB39" s="607"/>
      <c r="BC39" s="607"/>
      <c r="BD39" s="607"/>
      <c r="BE39" s="607"/>
      <c r="BF39" s="607"/>
      <c r="BG39" s="607"/>
      <c r="BH39" s="607"/>
      <c r="BI39" s="607"/>
      <c r="BJ39" s="607"/>
      <c r="BK39" s="607"/>
      <c r="BL39" s="607"/>
      <c r="BM39" s="607"/>
      <c r="BN39" s="607"/>
      <c r="BO39" s="607"/>
      <c r="BP39" s="607"/>
      <c r="BQ39" s="607"/>
      <c r="BR39" s="607"/>
      <c r="BS39" s="607"/>
      <c r="BT39" s="607"/>
      <c r="BU39" s="607"/>
      <c r="BV39" s="607"/>
      <c r="BW39" s="607"/>
      <c r="BX39" s="607"/>
      <c r="BY39" s="607"/>
      <c r="BZ39" s="607"/>
      <c r="CA39" s="607"/>
      <c r="CB39" s="607"/>
      <c r="CC39" s="607"/>
      <c r="CD39" s="607"/>
      <c r="CE39" s="607"/>
      <c r="CF39" s="607"/>
      <c r="CG39" s="607"/>
      <c r="CH39" s="607"/>
      <c r="CI39" s="607"/>
      <c r="CJ39" s="607"/>
      <c r="CK39" s="607"/>
      <c r="CL39" s="607"/>
      <c r="CM39" s="607"/>
      <c r="CN39" s="607"/>
      <c r="CO39" s="607"/>
      <c r="CP39" s="607"/>
      <c r="CQ39" s="607"/>
      <c r="CR39" s="607"/>
      <c r="CS39" s="607"/>
      <c r="CT39" s="607"/>
      <c r="CU39" s="607"/>
      <c r="CV39" s="607"/>
      <c r="CW39" s="607"/>
      <c r="CX39" s="607"/>
      <c r="CY39" s="607"/>
      <c r="CZ39" s="607"/>
      <c r="DA39" s="607"/>
      <c r="DB39" s="607"/>
      <c r="DC39" s="607"/>
      <c r="DD39" s="607"/>
      <c r="DE39" s="607"/>
      <c r="DF39" s="607"/>
      <c r="DG39" s="607"/>
      <c r="DH39" s="607"/>
      <c r="DI39" s="607"/>
      <c r="DJ39" s="607"/>
      <c r="DK39" s="607"/>
      <c r="DL39" s="607"/>
      <c r="DM39" s="607"/>
      <c r="DN39" s="607"/>
      <c r="DO39" s="607"/>
      <c r="DP39" s="607"/>
      <c r="DQ39" s="607"/>
      <c r="DR39" s="607"/>
      <c r="DS39" s="607"/>
      <c r="DT39" s="607"/>
      <c r="DU39" s="607"/>
      <c r="DV39" s="607"/>
      <c r="DW39" s="607"/>
      <c r="DX39" s="607"/>
      <c r="DY39" s="607"/>
      <c r="DZ39" s="607"/>
      <c r="EA39" s="607"/>
      <c r="EB39" s="607"/>
      <c r="EC39" s="607"/>
      <c r="ED39" s="607"/>
      <c r="EE39" s="607"/>
      <c r="EF39" s="607"/>
      <c r="EG39" s="607"/>
      <c r="EH39" s="607"/>
      <c r="EI39" s="607"/>
      <c r="EJ39" s="607"/>
      <c r="EK39" s="607"/>
      <c r="EL39" s="607"/>
      <c r="EM39" s="607"/>
      <c r="EN39" s="607"/>
      <c r="EO39" s="607"/>
      <c r="EP39" s="607"/>
      <c r="EQ39" s="607"/>
      <c r="ER39" s="607"/>
      <c r="ES39" s="607"/>
      <c r="ET39" s="607"/>
      <c r="EU39" s="607"/>
      <c r="EV39" s="607"/>
      <c r="EW39" s="607"/>
      <c r="EX39" s="607"/>
      <c r="EY39" s="607"/>
      <c r="EZ39" s="607"/>
      <c r="FA39" s="607"/>
      <c r="FB39" s="607"/>
      <c r="FC39" s="607"/>
      <c r="FD39" s="607"/>
      <c r="FE39" s="607"/>
      <c r="FF39" s="607"/>
      <c r="FG39" s="607"/>
      <c r="FH39" s="607"/>
      <c r="FI39" s="607"/>
      <c r="FJ39" s="607"/>
      <c r="FK39" s="607"/>
      <c r="FL39" s="607"/>
      <c r="FM39" s="607"/>
      <c r="FN39" s="607"/>
      <c r="FO39" s="607"/>
      <c r="FP39" s="607"/>
      <c r="FQ39" s="607"/>
      <c r="FR39" s="607"/>
      <c r="FS39" s="607"/>
      <c r="FT39" s="607"/>
      <c r="FU39" s="607"/>
      <c r="FV39" s="607"/>
      <c r="FW39" s="607"/>
      <c r="FX39" s="607"/>
      <c r="FY39" s="607"/>
      <c r="FZ39" s="607"/>
      <c r="GA39" s="607"/>
      <c r="GB39" s="607"/>
      <c r="GC39" s="607"/>
      <c r="GD39" s="607"/>
      <c r="GE39" s="607"/>
      <c r="GF39" s="607"/>
      <c r="GG39" s="607"/>
      <c r="GH39" s="607"/>
      <c r="GI39" s="607"/>
      <c r="GJ39" s="607"/>
      <c r="GK39" s="607"/>
      <c r="GL39" s="607"/>
      <c r="GM39" s="607"/>
      <c r="GN39" s="607"/>
      <c r="GO39" s="607"/>
      <c r="GP39" s="607"/>
      <c r="GQ39" s="607"/>
      <c r="GR39" s="607"/>
      <c r="GS39" s="607"/>
      <c r="GT39" s="607"/>
      <c r="GU39" s="607"/>
      <c r="GV39" s="607"/>
      <c r="GW39" s="607"/>
      <c r="GX39" s="607"/>
      <c r="GY39" s="607"/>
      <c r="GZ39" s="607"/>
      <c r="HA39" s="607"/>
      <c r="HB39" s="607"/>
      <c r="HC39" s="607"/>
      <c r="HD39" s="607"/>
      <c r="HE39" s="607"/>
      <c r="HF39" s="607"/>
      <c r="HG39" s="607"/>
      <c r="HH39" s="607"/>
      <c r="HI39" s="607"/>
      <c r="HJ39" s="607"/>
      <c r="HK39" s="607"/>
      <c r="HL39" s="607"/>
      <c r="HM39" s="607"/>
      <c r="HN39" s="607"/>
      <c r="HO39" s="607"/>
      <c r="HP39" s="607"/>
      <c r="HQ39" s="607"/>
      <c r="HR39" s="607"/>
      <c r="HS39" s="607"/>
      <c r="HT39" s="607"/>
      <c r="HU39" s="607"/>
      <c r="HV39" s="607"/>
      <c r="HW39" s="607"/>
      <c r="HX39" s="607"/>
      <c r="HY39" s="607"/>
      <c r="HZ39" s="607"/>
      <c r="IA39" s="607"/>
      <c r="IB39" s="607"/>
      <c r="IC39" s="607"/>
      <c r="ID39" s="607"/>
      <c r="IE39" s="607"/>
      <c r="IF39" s="607"/>
      <c r="IG39" s="607"/>
      <c r="IH39" s="607"/>
      <c r="II39" s="607"/>
      <c r="IJ39" s="607"/>
      <c r="IK39" s="607"/>
      <c r="IL39" s="607"/>
      <c r="IM39" s="607"/>
      <c r="IN39" s="607"/>
      <c r="IO39" s="607"/>
      <c r="IP39" s="607"/>
      <c r="IQ39" s="607"/>
      <c r="IR39" s="607"/>
      <c r="IS39" s="607"/>
      <c r="IT39" s="607"/>
      <c r="IU39" s="607"/>
      <c r="IV39" s="607"/>
      <c r="IW39" s="607"/>
    </row>
    <row r="40" spans="2:257" ht="14.45" customHeight="1">
      <c r="B40" s="580"/>
      <c r="C40" s="580"/>
      <c r="D40" s="580"/>
      <c r="E40" s="702"/>
      <c r="F40" s="703"/>
      <c r="G40" s="703"/>
      <c r="H40" s="703"/>
      <c r="I40" s="703"/>
      <c r="J40" s="703"/>
      <c r="K40" s="703"/>
      <c r="L40" s="703"/>
      <c r="M40" s="703"/>
      <c r="N40" s="703"/>
      <c r="O40" s="704"/>
      <c r="P40" s="617"/>
      <c r="Q40" s="700"/>
      <c r="R40" s="701"/>
      <c r="S40" s="608"/>
      <c r="T40" s="580"/>
      <c r="U40" s="580"/>
      <c r="V40" s="580"/>
      <c r="W40" s="580"/>
      <c r="X40" s="580"/>
      <c r="Y40" s="580"/>
      <c r="Z40" s="580"/>
      <c r="AA40" s="580"/>
      <c r="AB40" s="580"/>
      <c r="AC40" s="580"/>
      <c r="AD40" s="580"/>
      <c r="AE40" s="580"/>
      <c r="AF40" s="580"/>
      <c r="AG40" s="580"/>
      <c r="AH40" s="580"/>
      <c r="AI40" s="580"/>
      <c r="AJ40" s="580"/>
      <c r="AK40" s="580"/>
      <c r="AL40" s="580"/>
      <c r="AM40" s="580"/>
      <c r="AN40" s="580"/>
      <c r="AO40" s="580"/>
      <c r="AP40" s="580"/>
      <c r="AQ40" s="580"/>
      <c r="AR40" s="580"/>
      <c r="AS40" s="580"/>
      <c r="AT40" s="580"/>
      <c r="AU40" s="580"/>
      <c r="AV40" s="580"/>
      <c r="AW40" s="580"/>
      <c r="AX40" s="580"/>
      <c r="AY40" s="580"/>
      <c r="AZ40" s="580"/>
      <c r="BA40" s="580"/>
      <c r="BB40" s="580"/>
      <c r="BC40" s="580"/>
      <c r="BD40" s="580"/>
      <c r="BE40" s="580"/>
      <c r="BF40" s="580"/>
      <c r="BG40" s="580"/>
      <c r="BH40" s="580"/>
      <c r="BI40" s="580"/>
      <c r="BJ40" s="580"/>
      <c r="BK40" s="58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80"/>
      <c r="CK40" s="580"/>
      <c r="CL40" s="580"/>
      <c r="CM40" s="580"/>
      <c r="CN40" s="580"/>
      <c r="CO40" s="580"/>
      <c r="CP40" s="580"/>
      <c r="CQ40" s="580"/>
      <c r="CR40" s="580"/>
      <c r="CS40" s="580"/>
      <c r="CT40" s="580"/>
      <c r="CU40" s="580"/>
      <c r="CV40" s="580"/>
      <c r="CW40" s="580"/>
      <c r="CX40" s="580"/>
      <c r="CY40" s="580"/>
      <c r="CZ40" s="580"/>
      <c r="DA40" s="580"/>
      <c r="DB40" s="580"/>
      <c r="DC40" s="580"/>
      <c r="DD40" s="580"/>
      <c r="DE40" s="580"/>
      <c r="DF40" s="580"/>
      <c r="DG40" s="580"/>
      <c r="DH40" s="580"/>
      <c r="DI40" s="580"/>
      <c r="DJ40" s="580"/>
      <c r="DK40" s="580"/>
      <c r="DL40" s="580"/>
      <c r="DM40" s="580"/>
      <c r="DN40" s="580"/>
      <c r="DO40" s="580"/>
      <c r="DP40" s="580"/>
      <c r="DQ40" s="580"/>
      <c r="DR40" s="580"/>
      <c r="DS40" s="580"/>
      <c r="DT40" s="580"/>
      <c r="DU40" s="580"/>
      <c r="DV40" s="580"/>
      <c r="DW40" s="580"/>
      <c r="DX40" s="580"/>
      <c r="DY40" s="580"/>
      <c r="DZ40" s="580"/>
      <c r="EA40" s="580"/>
      <c r="EB40" s="580"/>
      <c r="EC40" s="580"/>
      <c r="ED40" s="580"/>
      <c r="EE40" s="580"/>
      <c r="EF40" s="580"/>
      <c r="EG40" s="580"/>
      <c r="EH40" s="580"/>
      <c r="EI40" s="580"/>
      <c r="EJ40" s="580"/>
      <c r="EK40" s="580"/>
      <c r="EL40" s="580"/>
      <c r="EM40" s="580"/>
      <c r="EN40" s="580"/>
      <c r="EO40" s="580"/>
      <c r="EP40" s="580"/>
      <c r="EQ40" s="580"/>
      <c r="ER40" s="580"/>
      <c r="ES40" s="580"/>
      <c r="ET40" s="580"/>
      <c r="EU40" s="580"/>
      <c r="EV40" s="580"/>
      <c r="EW40" s="580"/>
      <c r="EX40" s="580"/>
      <c r="EY40" s="580"/>
      <c r="EZ40" s="580"/>
      <c r="FA40" s="580"/>
      <c r="FB40" s="580"/>
      <c r="FC40" s="580"/>
      <c r="FD40" s="580"/>
      <c r="FE40" s="580"/>
      <c r="FF40" s="580"/>
      <c r="FG40" s="580"/>
      <c r="FH40" s="580"/>
      <c r="FI40" s="580"/>
      <c r="FJ40" s="580"/>
      <c r="FK40" s="580"/>
      <c r="FL40" s="580"/>
      <c r="FM40" s="580"/>
      <c r="FN40" s="580"/>
      <c r="FO40" s="580"/>
      <c r="FP40" s="580"/>
      <c r="FQ40" s="580"/>
      <c r="FR40" s="580"/>
      <c r="FS40" s="580"/>
      <c r="FT40" s="580"/>
      <c r="FU40" s="580"/>
      <c r="FV40" s="580"/>
      <c r="FW40" s="580"/>
      <c r="FX40" s="580"/>
      <c r="FY40" s="580"/>
      <c r="FZ40" s="580"/>
      <c r="GA40" s="580"/>
      <c r="GB40" s="580"/>
      <c r="GC40" s="580"/>
      <c r="GD40" s="580"/>
      <c r="GE40" s="580"/>
      <c r="GF40" s="580"/>
      <c r="GG40" s="580"/>
      <c r="GH40" s="580"/>
      <c r="GI40" s="580"/>
      <c r="GJ40" s="580"/>
      <c r="GK40" s="580"/>
      <c r="GL40" s="580"/>
      <c r="GM40" s="580"/>
      <c r="GN40" s="580"/>
      <c r="GO40" s="580"/>
      <c r="GP40" s="580"/>
      <c r="GQ40" s="580"/>
      <c r="GR40" s="580"/>
      <c r="GS40" s="580"/>
      <c r="GT40" s="580"/>
      <c r="GU40" s="580"/>
      <c r="GV40" s="580"/>
      <c r="GW40" s="580"/>
      <c r="GX40" s="580"/>
      <c r="GY40" s="580"/>
      <c r="GZ40" s="580"/>
      <c r="HA40" s="580"/>
      <c r="HB40" s="580"/>
      <c r="HC40" s="580"/>
      <c r="HD40" s="580"/>
      <c r="HE40" s="580"/>
      <c r="HF40" s="580"/>
      <c r="HG40" s="580"/>
      <c r="HH40" s="580"/>
      <c r="HI40" s="580"/>
      <c r="HJ40" s="580"/>
      <c r="HK40" s="580"/>
      <c r="HL40" s="580"/>
      <c r="HM40" s="580"/>
      <c r="HN40" s="580"/>
      <c r="HO40" s="580"/>
      <c r="HP40" s="580"/>
      <c r="HQ40" s="580"/>
      <c r="HR40" s="580"/>
      <c r="HS40" s="580"/>
      <c r="HT40" s="580"/>
      <c r="HU40" s="580"/>
      <c r="HV40" s="580"/>
      <c r="HW40" s="580"/>
      <c r="HX40" s="580"/>
      <c r="HY40" s="580"/>
      <c r="HZ40" s="580"/>
      <c r="IA40" s="580"/>
      <c r="IB40" s="580"/>
      <c r="IC40" s="580"/>
      <c r="ID40" s="580"/>
      <c r="IE40" s="580"/>
      <c r="IF40" s="580"/>
      <c r="IG40" s="580"/>
      <c r="IH40" s="580"/>
      <c r="II40" s="580"/>
      <c r="IJ40" s="580"/>
      <c r="IK40" s="580"/>
      <c r="IL40" s="580"/>
      <c r="IM40" s="580"/>
      <c r="IN40" s="580"/>
      <c r="IO40" s="580"/>
      <c r="IP40" s="580"/>
      <c r="IQ40" s="580"/>
      <c r="IR40" s="580"/>
      <c r="IS40" s="580"/>
      <c r="IT40" s="580"/>
      <c r="IU40" s="580"/>
      <c r="IV40" s="580"/>
      <c r="IW40" s="580"/>
    </row>
    <row r="41" spans="2:257" ht="14.45" customHeight="1">
      <c r="B41" s="580"/>
      <c r="C41" s="580"/>
      <c r="D41" s="580"/>
      <c r="E41" s="593"/>
      <c r="F41" s="593"/>
      <c r="G41" s="593"/>
      <c r="H41" s="593"/>
      <c r="I41" s="593"/>
      <c r="J41" s="593"/>
      <c r="K41" s="593"/>
      <c r="L41" s="593"/>
      <c r="M41" s="593"/>
      <c r="N41" s="593"/>
      <c r="O41" s="593"/>
      <c r="P41" s="593"/>
      <c r="Q41" s="593"/>
      <c r="R41" s="593"/>
      <c r="S41" s="580"/>
      <c r="T41" s="580"/>
      <c r="U41" s="580"/>
      <c r="V41" s="580"/>
      <c r="W41" s="580"/>
      <c r="X41" s="580"/>
      <c r="Y41" s="580"/>
      <c r="Z41" s="580"/>
      <c r="AA41" s="580"/>
      <c r="AB41" s="580"/>
      <c r="AC41" s="580"/>
      <c r="AD41" s="580"/>
      <c r="AE41" s="580"/>
      <c r="AF41" s="580"/>
      <c r="AG41" s="580"/>
      <c r="AH41" s="580"/>
      <c r="AI41" s="580"/>
      <c r="AJ41" s="580"/>
      <c r="AK41" s="580"/>
      <c r="AL41" s="580"/>
      <c r="AM41" s="580"/>
      <c r="AN41" s="580"/>
      <c r="AO41" s="580"/>
      <c r="AP41" s="580"/>
      <c r="AQ41" s="580"/>
      <c r="AR41" s="580"/>
      <c r="AS41" s="580"/>
      <c r="AT41" s="580"/>
      <c r="AU41" s="580"/>
      <c r="AV41" s="580"/>
      <c r="AW41" s="580"/>
      <c r="AX41" s="580"/>
      <c r="AY41" s="580"/>
      <c r="AZ41" s="580"/>
      <c r="BA41" s="580"/>
      <c r="BB41" s="580"/>
      <c r="BC41" s="580"/>
      <c r="BD41" s="580"/>
      <c r="BE41" s="580"/>
      <c r="BF41" s="580"/>
      <c r="BG41" s="580"/>
      <c r="BH41" s="580"/>
      <c r="BI41" s="580"/>
      <c r="BJ41" s="580"/>
      <c r="BK41" s="580"/>
      <c r="BL41" s="580"/>
      <c r="BM41" s="580"/>
      <c r="BN41" s="580"/>
      <c r="BO41" s="580"/>
      <c r="BP41" s="580"/>
      <c r="BQ41" s="580"/>
      <c r="BR41" s="580"/>
      <c r="BS41" s="580"/>
      <c r="BT41" s="580"/>
      <c r="BU41" s="580"/>
      <c r="BV41" s="580"/>
      <c r="BW41" s="580"/>
      <c r="BX41" s="580"/>
      <c r="BY41" s="580"/>
      <c r="BZ41" s="580"/>
      <c r="CA41" s="580"/>
      <c r="CB41" s="580"/>
      <c r="CC41" s="580"/>
      <c r="CD41" s="580"/>
      <c r="CE41" s="580"/>
      <c r="CF41" s="580"/>
      <c r="CG41" s="580"/>
      <c r="CH41" s="580"/>
      <c r="CI41" s="580"/>
      <c r="CJ41" s="580"/>
      <c r="CK41" s="580"/>
      <c r="CL41" s="580"/>
      <c r="CM41" s="580"/>
      <c r="CN41" s="580"/>
      <c r="CO41" s="580"/>
      <c r="CP41" s="580"/>
      <c r="CQ41" s="580"/>
      <c r="CR41" s="580"/>
      <c r="CS41" s="580"/>
      <c r="CT41" s="580"/>
      <c r="CU41" s="580"/>
      <c r="CV41" s="580"/>
      <c r="CW41" s="580"/>
      <c r="CX41" s="580"/>
      <c r="CY41" s="580"/>
      <c r="CZ41" s="580"/>
      <c r="DA41" s="580"/>
      <c r="DB41" s="580"/>
      <c r="DC41" s="580"/>
      <c r="DD41" s="580"/>
      <c r="DE41" s="580"/>
      <c r="DF41" s="580"/>
      <c r="DG41" s="580"/>
      <c r="DH41" s="580"/>
      <c r="DI41" s="580"/>
      <c r="DJ41" s="580"/>
      <c r="DK41" s="580"/>
      <c r="DL41" s="580"/>
      <c r="DM41" s="580"/>
      <c r="DN41" s="580"/>
      <c r="DO41" s="580"/>
      <c r="DP41" s="580"/>
      <c r="DQ41" s="580"/>
      <c r="DR41" s="580"/>
      <c r="DS41" s="580"/>
      <c r="DT41" s="580"/>
      <c r="DU41" s="580"/>
      <c r="DV41" s="580"/>
      <c r="DW41" s="580"/>
      <c r="DX41" s="580"/>
      <c r="DY41" s="580"/>
      <c r="DZ41" s="580"/>
      <c r="EA41" s="580"/>
      <c r="EB41" s="580"/>
      <c r="EC41" s="580"/>
      <c r="ED41" s="580"/>
      <c r="EE41" s="580"/>
      <c r="EF41" s="580"/>
      <c r="EG41" s="580"/>
      <c r="EH41" s="580"/>
      <c r="EI41" s="580"/>
      <c r="EJ41" s="580"/>
      <c r="EK41" s="580"/>
      <c r="EL41" s="580"/>
      <c r="EM41" s="580"/>
      <c r="EN41" s="580"/>
      <c r="EO41" s="580"/>
      <c r="EP41" s="580"/>
      <c r="EQ41" s="580"/>
      <c r="ER41" s="580"/>
      <c r="ES41" s="580"/>
      <c r="ET41" s="580"/>
      <c r="EU41" s="580"/>
      <c r="EV41" s="580"/>
      <c r="EW41" s="580"/>
      <c r="EX41" s="580"/>
      <c r="EY41" s="580"/>
      <c r="EZ41" s="580"/>
      <c r="FA41" s="580"/>
      <c r="FB41" s="580"/>
      <c r="FC41" s="580"/>
      <c r="FD41" s="580"/>
      <c r="FE41" s="580"/>
      <c r="FF41" s="580"/>
      <c r="FG41" s="580"/>
      <c r="FH41" s="580"/>
      <c r="FI41" s="580"/>
      <c r="FJ41" s="580"/>
      <c r="FK41" s="580"/>
      <c r="FL41" s="580"/>
      <c r="FM41" s="580"/>
      <c r="FN41" s="580"/>
      <c r="FO41" s="580"/>
      <c r="FP41" s="580"/>
      <c r="FQ41" s="580"/>
      <c r="FR41" s="580"/>
      <c r="FS41" s="580"/>
      <c r="FT41" s="580"/>
      <c r="FU41" s="580"/>
      <c r="FV41" s="580"/>
      <c r="FW41" s="580"/>
      <c r="FX41" s="580"/>
      <c r="FY41" s="580"/>
      <c r="FZ41" s="580"/>
      <c r="GA41" s="580"/>
      <c r="GB41" s="580"/>
      <c r="GC41" s="580"/>
      <c r="GD41" s="580"/>
      <c r="GE41" s="580"/>
      <c r="GF41" s="580"/>
      <c r="GG41" s="580"/>
      <c r="GH41" s="580"/>
      <c r="GI41" s="580"/>
      <c r="GJ41" s="580"/>
      <c r="GK41" s="580"/>
      <c r="GL41" s="580"/>
      <c r="GM41" s="580"/>
      <c r="GN41" s="580"/>
      <c r="GO41" s="580"/>
      <c r="GP41" s="580"/>
      <c r="GQ41" s="580"/>
      <c r="GR41" s="580"/>
      <c r="GS41" s="580"/>
      <c r="GT41" s="580"/>
      <c r="GU41" s="580"/>
      <c r="GV41" s="580"/>
      <c r="GW41" s="580"/>
      <c r="GX41" s="580"/>
      <c r="GY41" s="580"/>
      <c r="GZ41" s="580"/>
      <c r="HA41" s="580"/>
      <c r="HB41" s="580"/>
      <c r="HC41" s="580"/>
      <c r="HD41" s="580"/>
      <c r="HE41" s="580"/>
      <c r="HF41" s="580"/>
      <c r="HG41" s="580"/>
      <c r="HH41" s="580"/>
      <c r="HI41" s="580"/>
      <c r="HJ41" s="580"/>
      <c r="HK41" s="580"/>
      <c r="HL41" s="580"/>
      <c r="HM41" s="580"/>
      <c r="HN41" s="580"/>
      <c r="HO41" s="580"/>
      <c r="HP41" s="580"/>
      <c r="HQ41" s="580"/>
      <c r="HR41" s="580"/>
      <c r="HS41" s="580"/>
      <c r="HT41" s="580"/>
      <c r="HU41" s="580"/>
      <c r="HV41" s="580"/>
      <c r="HW41" s="580"/>
      <c r="HX41" s="580"/>
      <c r="HY41" s="580"/>
      <c r="HZ41" s="580"/>
      <c r="IA41" s="580"/>
      <c r="IB41" s="580"/>
      <c r="IC41" s="580"/>
      <c r="ID41" s="580"/>
      <c r="IE41" s="580"/>
      <c r="IF41" s="580"/>
      <c r="IG41" s="580"/>
      <c r="IH41" s="580"/>
      <c r="II41" s="580"/>
      <c r="IJ41" s="580"/>
      <c r="IK41" s="580"/>
      <c r="IL41" s="580"/>
      <c r="IM41" s="580"/>
      <c r="IN41" s="580"/>
      <c r="IO41" s="580"/>
      <c r="IP41" s="580"/>
      <c r="IQ41" s="580"/>
      <c r="IR41" s="580"/>
      <c r="IS41" s="580"/>
      <c r="IT41" s="580"/>
      <c r="IU41" s="580"/>
      <c r="IV41" s="580"/>
      <c r="IW41" s="580"/>
    </row>
    <row r="42" spans="2:257" ht="15.2" customHeight="1">
      <c r="B42" s="580"/>
      <c r="C42" s="580"/>
      <c r="D42" s="580"/>
      <c r="E42" s="593"/>
      <c r="F42" s="593"/>
      <c r="G42" s="593"/>
      <c r="H42" s="593"/>
      <c r="I42" s="593"/>
      <c r="J42" s="593"/>
      <c r="K42" s="593"/>
      <c r="L42" s="593"/>
      <c r="M42" s="593"/>
      <c r="N42" s="593"/>
      <c r="O42" s="593"/>
      <c r="P42" s="593"/>
      <c r="Q42" s="593"/>
      <c r="R42" s="593"/>
      <c r="S42" s="580"/>
      <c r="T42" s="580"/>
      <c r="U42" s="580"/>
      <c r="V42" s="580"/>
      <c r="W42" s="580"/>
      <c r="X42" s="580"/>
      <c r="Y42" s="580"/>
      <c r="Z42" s="580"/>
      <c r="AA42" s="580"/>
      <c r="AB42" s="580"/>
      <c r="AC42" s="580"/>
      <c r="AD42" s="580"/>
      <c r="AE42" s="580"/>
      <c r="AF42" s="580"/>
      <c r="AG42" s="580"/>
      <c r="AH42" s="580"/>
      <c r="AI42" s="580"/>
      <c r="AJ42" s="580"/>
      <c r="AK42" s="580"/>
      <c r="AL42" s="580"/>
      <c r="AM42" s="580"/>
      <c r="AN42" s="580"/>
      <c r="AO42" s="580"/>
      <c r="AP42" s="580"/>
      <c r="AQ42" s="580"/>
      <c r="AR42" s="580"/>
      <c r="AS42" s="580"/>
      <c r="AT42" s="580"/>
      <c r="AU42" s="580"/>
      <c r="AV42" s="580"/>
      <c r="AW42" s="580"/>
      <c r="AX42" s="580"/>
      <c r="AY42" s="580"/>
      <c r="AZ42" s="580"/>
      <c r="BA42" s="580"/>
      <c r="BB42" s="580"/>
      <c r="BC42" s="580"/>
      <c r="BD42" s="580"/>
      <c r="BE42" s="580"/>
      <c r="BF42" s="580"/>
      <c r="BG42" s="580"/>
      <c r="BH42" s="580"/>
      <c r="BI42" s="580"/>
      <c r="BJ42" s="580"/>
      <c r="BK42" s="580"/>
      <c r="BL42" s="580"/>
      <c r="BM42" s="580"/>
      <c r="BN42" s="580"/>
      <c r="BO42" s="580"/>
      <c r="BP42" s="580"/>
      <c r="BQ42" s="580"/>
      <c r="BR42" s="580"/>
      <c r="BS42" s="580"/>
      <c r="BT42" s="580"/>
      <c r="BU42" s="580"/>
      <c r="BV42" s="580"/>
      <c r="BW42" s="580"/>
      <c r="BX42" s="580"/>
      <c r="BY42" s="580"/>
      <c r="BZ42" s="580"/>
      <c r="CA42" s="580"/>
      <c r="CB42" s="580"/>
      <c r="CC42" s="580"/>
      <c r="CD42" s="580"/>
      <c r="CE42" s="580"/>
      <c r="CF42" s="580"/>
      <c r="CG42" s="580"/>
      <c r="CH42" s="580"/>
      <c r="CI42" s="580"/>
      <c r="CJ42" s="580"/>
      <c r="CK42" s="580"/>
      <c r="CL42" s="580"/>
      <c r="CM42" s="580"/>
      <c r="CN42" s="580"/>
      <c r="CO42" s="580"/>
      <c r="CP42" s="580"/>
      <c r="CQ42" s="580"/>
      <c r="CR42" s="580"/>
      <c r="CS42" s="580"/>
      <c r="CT42" s="580"/>
      <c r="CU42" s="580"/>
      <c r="CV42" s="580"/>
      <c r="CW42" s="580"/>
      <c r="CX42" s="580"/>
      <c r="CY42" s="580"/>
      <c r="CZ42" s="580"/>
      <c r="DA42" s="580"/>
      <c r="DB42" s="580"/>
      <c r="DC42" s="580"/>
      <c r="DD42" s="580"/>
      <c r="DE42" s="580"/>
      <c r="DF42" s="580"/>
      <c r="DG42" s="580"/>
      <c r="DH42" s="580"/>
      <c r="DI42" s="580"/>
      <c r="DJ42" s="580"/>
      <c r="DK42" s="580"/>
      <c r="DL42" s="580"/>
      <c r="DM42" s="580"/>
      <c r="DN42" s="580"/>
      <c r="DO42" s="580"/>
      <c r="DP42" s="580"/>
      <c r="DQ42" s="580"/>
      <c r="DR42" s="580"/>
      <c r="DS42" s="580"/>
      <c r="DT42" s="580"/>
      <c r="DU42" s="580"/>
      <c r="DV42" s="580"/>
      <c r="DW42" s="580"/>
      <c r="DX42" s="580"/>
      <c r="DY42" s="580"/>
      <c r="DZ42" s="580"/>
      <c r="EA42" s="580"/>
      <c r="EB42" s="580"/>
      <c r="EC42" s="580"/>
      <c r="ED42" s="580"/>
      <c r="EE42" s="580"/>
      <c r="EF42" s="580"/>
      <c r="EG42" s="580"/>
      <c r="EH42" s="580"/>
      <c r="EI42" s="580"/>
      <c r="EJ42" s="580"/>
      <c r="EK42" s="580"/>
      <c r="EL42" s="580"/>
      <c r="EM42" s="580"/>
      <c r="EN42" s="580"/>
      <c r="EO42" s="580"/>
      <c r="EP42" s="580"/>
      <c r="EQ42" s="580"/>
      <c r="ER42" s="580"/>
      <c r="ES42" s="580"/>
      <c r="ET42" s="580"/>
      <c r="EU42" s="580"/>
      <c r="EV42" s="580"/>
      <c r="EW42" s="580"/>
      <c r="EX42" s="580"/>
      <c r="EY42" s="580"/>
      <c r="EZ42" s="580"/>
      <c r="FA42" s="580"/>
      <c r="FB42" s="580"/>
      <c r="FC42" s="580"/>
      <c r="FD42" s="580"/>
      <c r="FE42" s="580"/>
      <c r="FF42" s="580"/>
      <c r="FG42" s="580"/>
      <c r="FH42" s="580"/>
      <c r="FI42" s="580"/>
      <c r="FJ42" s="580"/>
      <c r="FK42" s="580"/>
      <c r="FL42" s="580"/>
      <c r="FM42" s="580"/>
      <c r="FN42" s="580"/>
      <c r="FO42" s="580"/>
      <c r="FP42" s="580"/>
      <c r="FQ42" s="580"/>
      <c r="FR42" s="580"/>
      <c r="FS42" s="580"/>
      <c r="FT42" s="580"/>
      <c r="FU42" s="580"/>
      <c r="FV42" s="580"/>
      <c r="FW42" s="580"/>
      <c r="FX42" s="580"/>
      <c r="FY42" s="580"/>
      <c r="FZ42" s="580"/>
      <c r="GA42" s="580"/>
      <c r="GB42" s="580"/>
      <c r="GC42" s="580"/>
      <c r="GD42" s="580"/>
      <c r="GE42" s="580"/>
      <c r="GF42" s="580"/>
      <c r="GG42" s="580"/>
      <c r="GH42" s="580"/>
      <c r="GI42" s="580"/>
      <c r="GJ42" s="580"/>
      <c r="GK42" s="580"/>
      <c r="GL42" s="580"/>
      <c r="GM42" s="580"/>
      <c r="GN42" s="580"/>
      <c r="GO42" s="580"/>
      <c r="GP42" s="580"/>
      <c r="GQ42" s="580"/>
      <c r="GR42" s="580"/>
      <c r="GS42" s="580"/>
      <c r="GT42" s="580"/>
      <c r="GU42" s="580"/>
      <c r="GV42" s="580"/>
      <c r="GW42" s="580"/>
      <c r="GX42" s="580"/>
      <c r="GY42" s="580"/>
      <c r="GZ42" s="580"/>
      <c r="HA42" s="580"/>
      <c r="HB42" s="580"/>
      <c r="HC42" s="580"/>
      <c r="HD42" s="580"/>
      <c r="HE42" s="580"/>
      <c r="HF42" s="580"/>
      <c r="HG42" s="580"/>
      <c r="HH42" s="580"/>
      <c r="HI42" s="580"/>
      <c r="HJ42" s="580"/>
      <c r="HK42" s="580"/>
      <c r="HL42" s="580"/>
      <c r="HM42" s="580"/>
      <c r="HN42" s="580"/>
      <c r="HO42" s="580"/>
      <c r="HP42" s="580"/>
      <c r="HQ42" s="580"/>
      <c r="HR42" s="580"/>
      <c r="HS42" s="580"/>
      <c r="HT42" s="580"/>
      <c r="HU42" s="580"/>
      <c r="HV42" s="580"/>
      <c r="HW42" s="580"/>
      <c r="HX42" s="580"/>
      <c r="HY42" s="580"/>
      <c r="HZ42" s="580"/>
      <c r="IA42" s="580"/>
      <c r="IB42" s="580"/>
      <c r="IC42" s="580"/>
      <c r="ID42" s="580"/>
      <c r="IE42" s="580"/>
      <c r="IF42" s="580"/>
      <c r="IG42" s="580"/>
      <c r="IH42" s="580"/>
      <c r="II42" s="580"/>
      <c r="IJ42" s="580"/>
      <c r="IK42" s="580"/>
      <c r="IL42" s="580"/>
      <c r="IM42" s="580"/>
      <c r="IN42" s="580"/>
      <c r="IO42" s="580"/>
      <c r="IP42" s="580"/>
      <c r="IQ42" s="580"/>
      <c r="IR42" s="580"/>
      <c r="IS42" s="580"/>
      <c r="IT42" s="580"/>
      <c r="IU42" s="580"/>
      <c r="IV42" s="580"/>
      <c r="IW42" s="580"/>
    </row>
    <row r="43" spans="2:257" ht="26.25">
      <c r="B43" s="580"/>
      <c r="C43" s="580"/>
      <c r="D43" s="580"/>
      <c r="E43" s="593"/>
      <c r="F43" s="593"/>
      <c r="G43" s="593"/>
      <c r="H43" s="593"/>
      <c r="I43" s="593"/>
      <c r="J43" s="593"/>
      <c r="K43" s="593"/>
      <c r="L43" s="593"/>
      <c r="M43" s="593"/>
      <c r="N43" s="593"/>
      <c r="O43" s="593"/>
      <c r="P43" s="593"/>
      <c r="Q43" s="593"/>
      <c r="R43" s="593"/>
      <c r="S43" s="580"/>
      <c r="T43" s="580"/>
      <c r="U43" s="580"/>
      <c r="V43" s="580"/>
      <c r="W43" s="580"/>
      <c r="X43" s="580"/>
      <c r="Y43" s="580"/>
      <c r="Z43" s="580"/>
      <c r="AA43" s="580"/>
      <c r="AB43" s="580"/>
      <c r="AC43" s="580"/>
      <c r="AD43" s="580"/>
      <c r="AE43" s="580"/>
      <c r="AF43" s="580"/>
      <c r="AG43" s="580"/>
      <c r="AH43" s="580"/>
      <c r="AI43" s="580"/>
      <c r="AJ43" s="580"/>
      <c r="AK43" s="580"/>
      <c r="AL43" s="580"/>
      <c r="AM43" s="580"/>
      <c r="AN43" s="580"/>
      <c r="AO43" s="580"/>
      <c r="AP43" s="580"/>
      <c r="AQ43" s="580"/>
      <c r="AR43" s="580"/>
      <c r="AS43" s="580"/>
      <c r="AT43" s="580"/>
      <c r="AU43" s="580"/>
      <c r="AV43" s="580"/>
      <c r="AW43" s="580"/>
      <c r="AX43" s="580"/>
      <c r="AY43" s="580"/>
      <c r="AZ43" s="580"/>
      <c r="BA43" s="580"/>
      <c r="BB43" s="580"/>
      <c r="BC43" s="580"/>
      <c r="BD43" s="580"/>
      <c r="BE43" s="580"/>
      <c r="BF43" s="580"/>
      <c r="BG43" s="580"/>
      <c r="BH43" s="580"/>
      <c r="BI43" s="580"/>
      <c r="BJ43" s="580"/>
      <c r="BK43" s="580"/>
      <c r="BL43" s="580"/>
      <c r="BM43" s="580"/>
      <c r="BN43" s="580"/>
      <c r="BO43" s="580"/>
      <c r="BP43" s="580"/>
      <c r="BQ43" s="580"/>
      <c r="BR43" s="580"/>
      <c r="BS43" s="580"/>
      <c r="BT43" s="580"/>
      <c r="BU43" s="580"/>
      <c r="BV43" s="580"/>
      <c r="BW43" s="580"/>
      <c r="BX43" s="580"/>
      <c r="BY43" s="580"/>
      <c r="BZ43" s="580"/>
      <c r="CA43" s="580"/>
      <c r="CB43" s="580"/>
      <c r="CC43" s="580"/>
      <c r="CD43" s="580"/>
      <c r="CE43" s="580"/>
      <c r="CF43" s="580"/>
      <c r="CG43" s="580"/>
      <c r="CH43" s="580"/>
      <c r="CI43" s="580"/>
      <c r="CJ43" s="580"/>
      <c r="CK43" s="580"/>
      <c r="CL43" s="580"/>
      <c r="CM43" s="580"/>
      <c r="CN43" s="580"/>
      <c r="CO43" s="580"/>
      <c r="CP43" s="580"/>
      <c r="CQ43" s="580"/>
      <c r="CR43" s="580"/>
      <c r="CS43" s="580"/>
      <c r="CT43" s="580"/>
      <c r="CU43" s="580"/>
      <c r="CV43" s="580"/>
      <c r="CW43" s="580"/>
      <c r="CX43" s="580"/>
      <c r="CY43" s="580"/>
      <c r="CZ43" s="580"/>
      <c r="DA43" s="580"/>
      <c r="DB43" s="580"/>
      <c r="DC43" s="580"/>
      <c r="DD43" s="580"/>
      <c r="DE43" s="580"/>
      <c r="DF43" s="580"/>
      <c r="DG43" s="580"/>
      <c r="DH43" s="580"/>
      <c r="DI43" s="580"/>
      <c r="DJ43" s="580"/>
      <c r="DK43" s="580"/>
      <c r="DL43" s="580"/>
      <c r="DM43" s="580"/>
      <c r="DN43" s="580"/>
      <c r="DO43" s="580"/>
      <c r="DP43" s="580"/>
      <c r="DQ43" s="580"/>
      <c r="DR43" s="580"/>
      <c r="DS43" s="580"/>
      <c r="DT43" s="580"/>
      <c r="DU43" s="580"/>
      <c r="DV43" s="580"/>
      <c r="DW43" s="580"/>
      <c r="DX43" s="580"/>
      <c r="DY43" s="580"/>
      <c r="DZ43" s="580"/>
      <c r="EA43" s="580"/>
      <c r="EB43" s="580"/>
      <c r="EC43" s="580"/>
      <c r="ED43" s="580"/>
      <c r="EE43" s="580"/>
      <c r="EF43" s="580"/>
      <c r="EG43" s="580"/>
      <c r="EH43" s="580"/>
      <c r="EI43" s="580"/>
      <c r="EJ43" s="580"/>
      <c r="EK43" s="580"/>
      <c r="EL43" s="580"/>
      <c r="EM43" s="580"/>
      <c r="EN43" s="580"/>
      <c r="EO43" s="580"/>
      <c r="EP43" s="580"/>
      <c r="EQ43" s="580"/>
      <c r="ER43" s="580"/>
      <c r="ES43" s="580"/>
      <c r="ET43" s="580"/>
      <c r="EU43" s="580"/>
      <c r="EV43" s="580"/>
      <c r="EW43" s="580"/>
      <c r="EX43" s="580"/>
      <c r="EY43" s="580"/>
      <c r="EZ43" s="580"/>
      <c r="FA43" s="580"/>
      <c r="FB43" s="580"/>
      <c r="FC43" s="580"/>
      <c r="FD43" s="580"/>
      <c r="FE43" s="580"/>
      <c r="FF43" s="580"/>
      <c r="FG43" s="580"/>
      <c r="FH43" s="580"/>
      <c r="FI43" s="580"/>
      <c r="FJ43" s="580"/>
      <c r="FK43" s="580"/>
      <c r="FL43" s="580"/>
      <c r="FM43" s="580"/>
      <c r="FN43" s="580"/>
      <c r="FO43" s="580"/>
      <c r="FP43" s="580"/>
      <c r="FQ43" s="580"/>
      <c r="FR43" s="580"/>
      <c r="FS43" s="580"/>
      <c r="FT43" s="580"/>
      <c r="FU43" s="580"/>
      <c r="FV43" s="580"/>
      <c r="FW43" s="580"/>
      <c r="FX43" s="580"/>
      <c r="FY43" s="580"/>
      <c r="FZ43" s="580"/>
      <c r="GA43" s="580"/>
      <c r="GB43" s="580"/>
      <c r="GC43" s="580"/>
      <c r="GD43" s="580"/>
      <c r="GE43" s="580"/>
      <c r="GF43" s="580"/>
      <c r="GG43" s="580"/>
      <c r="GH43" s="580"/>
      <c r="GI43" s="580"/>
      <c r="GJ43" s="580"/>
      <c r="GK43" s="580"/>
      <c r="GL43" s="580"/>
      <c r="GM43" s="580"/>
      <c r="GN43" s="580"/>
      <c r="GO43" s="580"/>
      <c r="GP43" s="580"/>
      <c r="GQ43" s="580"/>
      <c r="GR43" s="580"/>
      <c r="GS43" s="580"/>
      <c r="GT43" s="580"/>
      <c r="GU43" s="580"/>
      <c r="GV43" s="580"/>
      <c r="GW43" s="580"/>
      <c r="GX43" s="580"/>
      <c r="GY43" s="580"/>
      <c r="GZ43" s="580"/>
      <c r="HA43" s="580"/>
      <c r="HB43" s="580"/>
      <c r="HC43" s="580"/>
      <c r="HD43" s="580"/>
      <c r="HE43" s="580"/>
      <c r="HF43" s="580"/>
      <c r="HG43" s="580"/>
      <c r="HH43" s="580"/>
      <c r="HI43" s="580"/>
      <c r="HJ43" s="580"/>
      <c r="HK43" s="580"/>
      <c r="HL43" s="580"/>
      <c r="HM43" s="580"/>
      <c r="HN43" s="580"/>
      <c r="HO43" s="580"/>
      <c r="HP43" s="580"/>
      <c r="HQ43" s="580"/>
      <c r="HR43" s="580"/>
      <c r="HS43" s="580"/>
      <c r="HT43" s="580"/>
      <c r="HU43" s="580"/>
      <c r="HV43" s="580"/>
      <c r="HW43" s="580"/>
      <c r="HX43" s="580"/>
      <c r="HY43" s="580"/>
      <c r="HZ43" s="580"/>
      <c r="IA43" s="580"/>
      <c r="IB43" s="580"/>
      <c r="IC43" s="580"/>
      <c r="ID43" s="580"/>
      <c r="IE43" s="580"/>
      <c r="IF43" s="580"/>
      <c r="IG43" s="580"/>
      <c r="IH43" s="580"/>
      <c r="II43" s="580"/>
      <c r="IJ43" s="580"/>
      <c r="IK43" s="580"/>
      <c r="IL43" s="580"/>
      <c r="IM43" s="580"/>
      <c r="IN43" s="580"/>
      <c r="IO43" s="580"/>
      <c r="IP43" s="580"/>
      <c r="IQ43" s="580"/>
      <c r="IR43" s="580"/>
      <c r="IS43" s="580"/>
      <c r="IT43" s="580"/>
      <c r="IU43" s="580"/>
      <c r="IV43" s="580"/>
      <c r="IW43" s="580"/>
    </row>
    <row r="44" spans="2:257" ht="14.45" customHeight="1">
      <c r="B44" s="620"/>
      <c r="C44" s="585"/>
      <c r="D44" s="580"/>
      <c r="E44" s="593"/>
      <c r="F44" s="593"/>
      <c r="G44" s="593"/>
      <c r="H44" s="593"/>
      <c r="I44" s="593"/>
      <c r="J44" s="593"/>
      <c r="K44" s="593"/>
      <c r="L44" s="593"/>
      <c r="M44" s="580"/>
      <c r="N44" s="593"/>
      <c r="O44" s="593"/>
      <c r="P44" s="593"/>
      <c r="Q44" s="593"/>
      <c r="R44" s="593"/>
      <c r="S44" s="580"/>
      <c r="T44" s="580"/>
      <c r="U44" s="580"/>
      <c r="V44" s="580"/>
      <c r="W44" s="580"/>
      <c r="X44" s="580"/>
      <c r="Y44" s="580"/>
      <c r="Z44" s="580"/>
      <c r="AA44" s="580"/>
      <c r="AB44" s="580"/>
      <c r="AC44" s="580"/>
      <c r="AD44" s="580"/>
      <c r="AE44" s="580"/>
      <c r="AF44" s="580"/>
      <c r="AG44" s="580"/>
      <c r="AH44" s="580"/>
      <c r="AI44" s="580"/>
      <c r="AJ44" s="580"/>
      <c r="AK44" s="580"/>
      <c r="AL44" s="580"/>
      <c r="AM44" s="580"/>
      <c r="AN44" s="580"/>
      <c r="AO44" s="580"/>
      <c r="AP44" s="580"/>
      <c r="AQ44" s="580"/>
      <c r="AR44" s="580"/>
      <c r="AS44" s="580"/>
      <c r="AT44" s="580"/>
      <c r="AU44" s="580"/>
      <c r="AV44" s="580"/>
      <c r="AW44" s="580"/>
      <c r="AX44" s="580"/>
      <c r="AY44" s="580"/>
      <c r="AZ44" s="580"/>
      <c r="BA44" s="580"/>
      <c r="BB44" s="580"/>
      <c r="BC44" s="580"/>
      <c r="BD44" s="580"/>
      <c r="BE44" s="580"/>
      <c r="BF44" s="580"/>
      <c r="BG44" s="580"/>
      <c r="BH44" s="580"/>
      <c r="BI44" s="580"/>
      <c r="BJ44" s="580"/>
      <c r="BK44" s="580"/>
      <c r="BL44" s="580"/>
      <c r="BM44" s="580"/>
      <c r="BN44" s="580"/>
      <c r="BO44" s="580"/>
      <c r="BP44" s="580"/>
      <c r="BQ44" s="580"/>
      <c r="BR44" s="580"/>
      <c r="BS44" s="580"/>
      <c r="BT44" s="580"/>
      <c r="BU44" s="580"/>
      <c r="BV44" s="580"/>
      <c r="BW44" s="580"/>
      <c r="BX44" s="580"/>
      <c r="BY44" s="580"/>
      <c r="BZ44" s="580"/>
      <c r="CA44" s="580"/>
      <c r="CB44" s="580"/>
      <c r="CC44" s="580"/>
      <c r="CD44" s="580"/>
      <c r="CE44" s="580"/>
      <c r="CF44" s="580"/>
      <c r="CG44" s="580"/>
      <c r="CH44" s="580"/>
      <c r="CI44" s="580"/>
      <c r="CJ44" s="580"/>
      <c r="CK44" s="580"/>
      <c r="CL44" s="580"/>
      <c r="CM44" s="580"/>
      <c r="CN44" s="580"/>
      <c r="CO44" s="580"/>
      <c r="CP44" s="580"/>
      <c r="CQ44" s="580"/>
      <c r="CR44" s="580"/>
      <c r="CS44" s="580"/>
      <c r="CT44" s="580"/>
      <c r="CU44" s="580"/>
      <c r="CV44" s="580"/>
      <c r="CW44" s="580"/>
      <c r="CX44" s="580"/>
      <c r="CY44" s="580"/>
      <c r="CZ44" s="580"/>
      <c r="DA44" s="580"/>
      <c r="DB44" s="580"/>
      <c r="DC44" s="580"/>
      <c r="DD44" s="580"/>
      <c r="DE44" s="580"/>
      <c r="DF44" s="580"/>
      <c r="DG44" s="580"/>
      <c r="DH44" s="580"/>
      <c r="DI44" s="580"/>
      <c r="DJ44" s="580"/>
      <c r="DK44" s="580"/>
      <c r="DL44" s="580"/>
      <c r="DM44" s="580"/>
      <c r="DN44" s="580"/>
      <c r="DO44" s="580"/>
      <c r="DP44" s="580"/>
      <c r="DQ44" s="580"/>
      <c r="DR44" s="580"/>
      <c r="DS44" s="580"/>
      <c r="DT44" s="580"/>
      <c r="DU44" s="580"/>
      <c r="DV44" s="580"/>
      <c r="DW44" s="580"/>
      <c r="DX44" s="580"/>
      <c r="DY44" s="580"/>
      <c r="DZ44" s="580"/>
      <c r="EA44" s="580"/>
      <c r="EB44" s="580"/>
      <c r="EC44" s="580"/>
      <c r="ED44" s="580"/>
      <c r="EE44" s="580"/>
      <c r="EF44" s="580"/>
      <c r="EG44" s="580"/>
      <c r="EH44" s="580"/>
      <c r="EI44" s="580"/>
      <c r="EJ44" s="580"/>
      <c r="EK44" s="580"/>
      <c r="EL44" s="580"/>
      <c r="EM44" s="580"/>
      <c r="EN44" s="580"/>
      <c r="EO44" s="580"/>
      <c r="EP44" s="580"/>
      <c r="EQ44" s="580"/>
      <c r="ER44" s="580"/>
      <c r="ES44" s="580"/>
      <c r="ET44" s="580"/>
      <c r="EU44" s="580"/>
      <c r="EV44" s="580"/>
      <c r="EW44" s="580"/>
      <c r="EX44" s="580"/>
      <c r="EY44" s="580"/>
      <c r="EZ44" s="580"/>
      <c r="FA44" s="580"/>
      <c r="FB44" s="580"/>
      <c r="FC44" s="580"/>
      <c r="FD44" s="580"/>
      <c r="FE44" s="580"/>
      <c r="FF44" s="580"/>
      <c r="FG44" s="580"/>
      <c r="FH44" s="580"/>
      <c r="FI44" s="580"/>
      <c r="FJ44" s="580"/>
      <c r="FK44" s="580"/>
      <c r="FL44" s="580"/>
      <c r="FM44" s="580"/>
      <c r="FN44" s="580"/>
      <c r="FO44" s="580"/>
      <c r="FP44" s="580"/>
      <c r="FQ44" s="580"/>
      <c r="FR44" s="580"/>
      <c r="FS44" s="580"/>
      <c r="FT44" s="580"/>
      <c r="FU44" s="580"/>
      <c r="FV44" s="580"/>
      <c r="FW44" s="580"/>
      <c r="FX44" s="580"/>
      <c r="FY44" s="580"/>
      <c r="FZ44" s="580"/>
      <c r="GA44" s="580"/>
      <c r="GB44" s="580"/>
      <c r="GC44" s="580"/>
      <c r="GD44" s="580"/>
      <c r="GE44" s="580"/>
      <c r="GF44" s="580"/>
      <c r="GG44" s="580"/>
      <c r="GH44" s="580"/>
      <c r="GI44" s="580"/>
      <c r="GJ44" s="580"/>
      <c r="GK44" s="580"/>
      <c r="GL44" s="580"/>
      <c r="GM44" s="580"/>
      <c r="GN44" s="580"/>
      <c r="GO44" s="580"/>
      <c r="GP44" s="580"/>
      <c r="GQ44" s="580"/>
      <c r="GR44" s="580"/>
      <c r="GS44" s="580"/>
      <c r="GT44" s="580"/>
      <c r="GU44" s="580"/>
      <c r="GV44" s="580"/>
      <c r="GW44" s="580"/>
      <c r="GX44" s="580"/>
      <c r="GY44" s="580"/>
      <c r="GZ44" s="580"/>
      <c r="HA44" s="580"/>
      <c r="HB44" s="580"/>
      <c r="HC44" s="580"/>
      <c r="HD44" s="580"/>
      <c r="HE44" s="580"/>
      <c r="HF44" s="580"/>
      <c r="HG44" s="580"/>
      <c r="HH44" s="580"/>
      <c r="HI44" s="580"/>
      <c r="HJ44" s="580"/>
      <c r="HK44" s="580"/>
      <c r="HL44" s="580"/>
      <c r="HM44" s="580"/>
      <c r="HN44" s="580"/>
      <c r="HO44" s="580"/>
      <c r="HP44" s="580"/>
      <c r="HQ44" s="580"/>
      <c r="HR44" s="580"/>
      <c r="HS44" s="580"/>
      <c r="HT44" s="580"/>
      <c r="HU44" s="580"/>
      <c r="HV44" s="580"/>
      <c r="HW44" s="580"/>
      <c r="HX44" s="580"/>
      <c r="HY44" s="580"/>
      <c r="HZ44" s="580"/>
      <c r="IA44" s="580"/>
      <c r="IB44" s="580"/>
      <c r="IC44" s="580"/>
      <c r="ID44" s="580"/>
      <c r="IE44" s="580"/>
      <c r="IF44" s="580"/>
      <c r="IG44" s="580"/>
      <c r="IH44" s="580"/>
      <c r="II44" s="580"/>
      <c r="IJ44" s="580"/>
      <c r="IK44" s="580"/>
      <c r="IL44" s="580"/>
      <c r="IM44" s="580"/>
      <c r="IN44" s="580"/>
      <c r="IO44" s="580"/>
      <c r="IP44" s="580"/>
      <c r="IQ44" s="580"/>
      <c r="IR44" s="580"/>
      <c r="IS44" s="580"/>
      <c r="IT44" s="580"/>
      <c r="IU44" s="580"/>
      <c r="IV44" s="580"/>
      <c r="IW44" s="580"/>
    </row>
    <row r="45" spans="2:257" ht="15.2" customHeight="1">
      <c r="B45" s="620"/>
      <c r="C45" s="585"/>
      <c r="D45" s="580"/>
      <c r="E45" s="580"/>
      <c r="F45" s="580"/>
      <c r="G45" s="580"/>
      <c r="H45" s="580"/>
      <c r="I45" s="580"/>
      <c r="J45" s="580"/>
      <c r="K45" s="580"/>
      <c r="L45" s="580"/>
      <c r="M45" s="593"/>
      <c r="N45" s="580"/>
      <c r="O45" s="580"/>
      <c r="P45" s="580"/>
      <c r="Q45" s="580"/>
      <c r="R45" s="580"/>
      <c r="S45" s="580"/>
      <c r="T45" s="580"/>
      <c r="U45" s="580"/>
      <c r="V45" s="580"/>
      <c r="W45" s="580"/>
      <c r="X45" s="580"/>
      <c r="Y45" s="580"/>
      <c r="Z45" s="580"/>
      <c r="AA45" s="580"/>
      <c r="AB45" s="580"/>
      <c r="AC45" s="580"/>
      <c r="AD45" s="580"/>
      <c r="AE45" s="580"/>
      <c r="AF45" s="580"/>
      <c r="AG45" s="580"/>
      <c r="AH45" s="580"/>
      <c r="AI45" s="580"/>
      <c r="AJ45" s="580"/>
      <c r="AK45" s="580"/>
      <c r="AL45" s="580"/>
      <c r="AM45" s="580"/>
      <c r="AN45" s="580"/>
      <c r="AO45" s="580"/>
      <c r="AP45" s="580"/>
      <c r="AQ45" s="580"/>
      <c r="AR45" s="580"/>
      <c r="AS45" s="580"/>
      <c r="AT45" s="580"/>
      <c r="AU45" s="580"/>
      <c r="AV45" s="580"/>
      <c r="AW45" s="580"/>
      <c r="AX45" s="580"/>
      <c r="AY45" s="580"/>
      <c r="AZ45" s="580"/>
      <c r="BA45" s="580"/>
      <c r="BB45" s="580"/>
      <c r="BC45" s="580"/>
      <c r="BD45" s="580"/>
      <c r="BE45" s="580"/>
      <c r="BF45" s="580"/>
      <c r="BG45" s="580"/>
      <c r="BH45" s="580"/>
      <c r="BI45" s="580"/>
      <c r="BJ45" s="580"/>
      <c r="BK45" s="580"/>
      <c r="BL45" s="580"/>
      <c r="BM45" s="580"/>
      <c r="BN45" s="580"/>
      <c r="BO45" s="580"/>
      <c r="BP45" s="580"/>
      <c r="BQ45" s="580"/>
      <c r="BR45" s="580"/>
      <c r="BS45" s="580"/>
      <c r="BT45" s="580"/>
      <c r="BU45" s="580"/>
      <c r="BV45" s="580"/>
      <c r="BW45" s="580"/>
      <c r="BX45" s="580"/>
      <c r="BY45" s="580"/>
      <c r="BZ45" s="580"/>
      <c r="CA45" s="580"/>
      <c r="CB45" s="580"/>
      <c r="CC45" s="580"/>
      <c r="CD45" s="580"/>
      <c r="CE45" s="580"/>
      <c r="CF45" s="580"/>
      <c r="CG45" s="580"/>
      <c r="CH45" s="580"/>
      <c r="CI45" s="580"/>
      <c r="CJ45" s="580"/>
      <c r="CK45" s="580"/>
      <c r="CL45" s="580"/>
      <c r="CM45" s="580"/>
      <c r="CN45" s="580"/>
      <c r="CO45" s="580"/>
      <c r="CP45" s="580"/>
      <c r="CQ45" s="580"/>
      <c r="CR45" s="580"/>
      <c r="CS45" s="580"/>
      <c r="CT45" s="580"/>
      <c r="CU45" s="580"/>
      <c r="CV45" s="580"/>
      <c r="CW45" s="580"/>
      <c r="CX45" s="580"/>
      <c r="CY45" s="580"/>
      <c r="CZ45" s="580"/>
      <c r="DA45" s="580"/>
      <c r="DB45" s="580"/>
      <c r="DC45" s="580"/>
      <c r="DD45" s="580"/>
      <c r="DE45" s="580"/>
      <c r="DF45" s="580"/>
      <c r="DG45" s="580"/>
      <c r="DH45" s="580"/>
      <c r="DI45" s="580"/>
      <c r="DJ45" s="580"/>
      <c r="DK45" s="580"/>
      <c r="DL45" s="580"/>
      <c r="DM45" s="580"/>
      <c r="DN45" s="580"/>
      <c r="DO45" s="580"/>
      <c r="DP45" s="580"/>
      <c r="DQ45" s="580"/>
      <c r="DR45" s="580"/>
      <c r="DS45" s="580"/>
      <c r="DT45" s="580"/>
      <c r="DU45" s="580"/>
      <c r="DV45" s="580"/>
      <c r="DW45" s="580"/>
      <c r="DX45" s="580"/>
      <c r="DY45" s="580"/>
      <c r="DZ45" s="580"/>
      <c r="EA45" s="580"/>
      <c r="EB45" s="580"/>
      <c r="EC45" s="580"/>
      <c r="ED45" s="580"/>
      <c r="EE45" s="580"/>
      <c r="EF45" s="580"/>
      <c r="EG45" s="580"/>
      <c r="EH45" s="580"/>
      <c r="EI45" s="580"/>
      <c r="EJ45" s="580"/>
      <c r="EK45" s="580"/>
      <c r="EL45" s="580"/>
      <c r="EM45" s="580"/>
      <c r="EN45" s="580"/>
      <c r="EO45" s="580"/>
      <c r="EP45" s="580"/>
      <c r="EQ45" s="580"/>
      <c r="ER45" s="580"/>
      <c r="ES45" s="580"/>
      <c r="ET45" s="580"/>
      <c r="EU45" s="580"/>
      <c r="EV45" s="580"/>
      <c r="EW45" s="580"/>
      <c r="EX45" s="580"/>
      <c r="EY45" s="580"/>
      <c r="EZ45" s="580"/>
      <c r="FA45" s="580"/>
      <c r="FB45" s="580"/>
      <c r="FC45" s="580"/>
      <c r="FD45" s="580"/>
      <c r="FE45" s="580"/>
      <c r="FF45" s="580"/>
      <c r="FG45" s="580"/>
      <c r="FH45" s="580"/>
      <c r="FI45" s="580"/>
      <c r="FJ45" s="580"/>
      <c r="FK45" s="580"/>
      <c r="FL45" s="580"/>
      <c r="FM45" s="580"/>
      <c r="FN45" s="580"/>
      <c r="FO45" s="580"/>
      <c r="FP45" s="580"/>
      <c r="FQ45" s="580"/>
      <c r="FR45" s="580"/>
      <c r="FS45" s="580"/>
      <c r="FT45" s="580"/>
      <c r="FU45" s="580"/>
      <c r="FV45" s="580"/>
      <c r="FW45" s="580"/>
      <c r="FX45" s="580"/>
      <c r="FY45" s="580"/>
      <c r="FZ45" s="580"/>
      <c r="GA45" s="580"/>
      <c r="GB45" s="580"/>
      <c r="GC45" s="580"/>
      <c r="GD45" s="580"/>
      <c r="GE45" s="580"/>
      <c r="GF45" s="580"/>
      <c r="GG45" s="580"/>
      <c r="GH45" s="580"/>
      <c r="GI45" s="580"/>
      <c r="GJ45" s="580"/>
      <c r="GK45" s="580"/>
      <c r="GL45" s="580"/>
      <c r="GM45" s="580"/>
      <c r="GN45" s="580"/>
      <c r="GO45" s="580"/>
      <c r="GP45" s="580"/>
      <c r="GQ45" s="580"/>
      <c r="GR45" s="580"/>
      <c r="GS45" s="580"/>
      <c r="GT45" s="580"/>
      <c r="GU45" s="580"/>
      <c r="GV45" s="580"/>
      <c r="GW45" s="580"/>
      <c r="GX45" s="580"/>
      <c r="GY45" s="580"/>
      <c r="GZ45" s="580"/>
      <c r="HA45" s="580"/>
      <c r="HB45" s="580"/>
      <c r="HC45" s="580"/>
      <c r="HD45" s="580"/>
      <c r="HE45" s="580"/>
      <c r="HF45" s="580"/>
      <c r="HG45" s="580"/>
      <c r="HH45" s="580"/>
      <c r="HI45" s="580"/>
      <c r="HJ45" s="580"/>
      <c r="HK45" s="580"/>
      <c r="HL45" s="580"/>
      <c r="HM45" s="580"/>
      <c r="HN45" s="580"/>
      <c r="HO45" s="580"/>
      <c r="HP45" s="580"/>
      <c r="HQ45" s="580"/>
      <c r="HR45" s="580"/>
      <c r="HS45" s="580"/>
      <c r="HT45" s="580"/>
      <c r="HU45" s="580"/>
      <c r="HV45" s="580"/>
      <c r="HW45" s="580"/>
      <c r="HX45" s="580"/>
      <c r="HY45" s="580"/>
      <c r="HZ45" s="580"/>
      <c r="IA45" s="580"/>
      <c r="IB45" s="580"/>
      <c r="IC45" s="580"/>
      <c r="ID45" s="580"/>
      <c r="IE45" s="580"/>
      <c r="IF45" s="580"/>
      <c r="IG45" s="580"/>
      <c r="IH45" s="580"/>
      <c r="II45" s="580"/>
      <c r="IJ45" s="580"/>
      <c r="IK45" s="580"/>
      <c r="IL45" s="580"/>
      <c r="IM45" s="580"/>
      <c r="IN45" s="580"/>
      <c r="IO45" s="580"/>
      <c r="IP45" s="580"/>
      <c r="IQ45" s="580"/>
      <c r="IR45" s="580"/>
      <c r="IS45" s="580"/>
      <c r="IT45" s="580"/>
      <c r="IU45" s="580"/>
      <c r="IV45" s="580"/>
      <c r="IW45" s="580"/>
    </row>
    <row r="46" spans="2:257" ht="14.45" customHeight="1">
      <c r="B46" s="620"/>
      <c r="C46" s="621"/>
      <c r="D46" s="580"/>
      <c r="E46" s="580"/>
      <c r="F46" s="580"/>
      <c r="G46" s="580"/>
      <c r="H46" s="580"/>
      <c r="I46" s="580"/>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0"/>
      <c r="AI46" s="580"/>
      <c r="AJ46" s="580"/>
      <c r="AK46" s="580"/>
      <c r="AL46" s="580"/>
      <c r="AM46" s="580"/>
      <c r="AN46" s="580"/>
      <c r="AO46" s="580"/>
      <c r="AP46" s="580"/>
      <c r="AQ46" s="580"/>
      <c r="AR46" s="580"/>
      <c r="AS46" s="580"/>
      <c r="AT46" s="580"/>
      <c r="AU46" s="580"/>
      <c r="AV46" s="580"/>
      <c r="AW46" s="580"/>
      <c r="AX46" s="580"/>
      <c r="AY46" s="580"/>
      <c r="AZ46" s="580"/>
      <c r="BA46" s="580"/>
      <c r="BB46" s="580"/>
      <c r="BC46" s="580"/>
      <c r="BD46" s="580"/>
      <c r="BE46" s="580"/>
      <c r="BF46" s="580"/>
      <c r="BG46" s="580"/>
      <c r="BH46" s="580"/>
      <c r="BI46" s="580"/>
      <c r="BJ46" s="580"/>
      <c r="BK46" s="580"/>
      <c r="BL46" s="580"/>
      <c r="BM46" s="580"/>
      <c r="BN46" s="580"/>
      <c r="BO46" s="580"/>
      <c r="BP46" s="580"/>
      <c r="BQ46" s="580"/>
      <c r="BR46" s="580"/>
      <c r="BS46" s="580"/>
      <c r="BT46" s="580"/>
      <c r="BU46" s="580"/>
      <c r="BV46" s="580"/>
      <c r="BW46" s="580"/>
      <c r="BX46" s="580"/>
      <c r="BY46" s="580"/>
      <c r="BZ46" s="580"/>
      <c r="CA46" s="580"/>
      <c r="CB46" s="580"/>
      <c r="CC46" s="580"/>
      <c r="CD46" s="580"/>
      <c r="CE46" s="580"/>
      <c r="CF46" s="580"/>
      <c r="CG46" s="580"/>
      <c r="CH46" s="580"/>
      <c r="CI46" s="580"/>
      <c r="CJ46" s="580"/>
      <c r="CK46" s="580"/>
      <c r="CL46" s="580"/>
      <c r="CM46" s="580"/>
      <c r="CN46" s="580"/>
      <c r="CO46" s="580"/>
      <c r="CP46" s="580"/>
      <c r="CQ46" s="580"/>
      <c r="CR46" s="580"/>
      <c r="CS46" s="580"/>
      <c r="CT46" s="580"/>
      <c r="CU46" s="580"/>
      <c r="CV46" s="580"/>
      <c r="CW46" s="580"/>
      <c r="CX46" s="580"/>
      <c r="CY46" s="580"/>
      <c r="CZ46" s="580"/>
      <c r="DA46" s="580"/>
      <c r="DB46" s="580"/>
      <c r="DC46" s="580"/>
      <c r="DD46" s="580"/>
      <c r="DE46" s="580"/>
      <c r="DF46" s="580"/>
      <c r="DG46" s="580"/>
      <c r="DH46" s="580"/>
      <c r="DI46" s="580"/>
      <c r="DJ46" s="580"/>
      <c r="DK46" s="580"/>
      <c r="DL46" s="580"/>
      <c r="DM46" s="580"/>
      <c r="DN46" s="580"/>
      <c r="DO46" s="580"/>
      <c r="DP46" s="580"/>
      <c r="DQ46" s="580"/>
      <c r="DR46" s="580"/>
      <c r="DS46" s="580"/>
      <c r="DT46" s="580"/>
      <c r="DU46" s="580"/>
      <c r="DV46" s="580"/>
      <c r="DW46" s="580"/>
      <c r="DX46" s="580"/>
      <c r="DY46" s="580"/>
      <c r="DZ46" s="580"/>
      <c r="EA46" s="580"/>
      <c r="EB46" s="580"/>
      <c r="EC46" s="580"/>
      <c r="ED46" s="580"/>
      <c r="EE46" s="580"/>
      <c r="EF46" s="580"/>
      <c r="EG46" s="580"/>
      <c r="EH46" s="580"/>
      <c r="EI46" s="580"/>
      <c r="EJ46" s="580"/>
      <c r="EK46" s="580"/>
      <c r="EL46" s="580"/>
      <c r="EM46" s="580"/>
      <c r="EN46" s="580"/>
      <c r="EO46" s="580"/>
      <c r="EP46" s="580"/>
      <c r="EQ46" s="580"/>
      <c r="ER46" s="580"/>
      <c r="ES46" s="580"/>
      <c r="ET46" s="580"/>
      <c r="EU46" s="580"/>
      <c r="EV46" s="580"/>
      <c r="EW46" s="580"/>
      <c r="EX46" s="580"/>
      <c r="EY46" s="580"/>
      <c r="EZ46" s="580"/>
      <c r="FA46" s="580"/>
      <c r="FB46" s="580"/>
      <c r="FC46" s="580"/>
      <c r="FD46" s="580"/>
      <c r="FE46" s="580"/>
      <c r="FF46" s="580"/>
      <c r="FG46" s="580"/>
      <c r="FH46" s="580"/>
      <c r="FI46" s="580"/>
      <c r="FJ46" s="580"/>
      <c r="FK46" s="580"/>
      <c r="FL46" s="580"/>
      <c r="FM46" s="580"/>
      <c r="FN46" s="580"/>
      <c r="FO46" s="580"/>
      <c r="FP46" s="580"/>
      <c r="FQ46" s="580"/>
      <c r="FR46" s="580"/>
      <c r="FS46" s="580"/>
      <c r="FT46" s="580"/>
      <c r="FU46" s="580"/>
      <c r="FV46" s="580"/>
      <c r="FW46" s="580"/>
      <c r="FX46" s="580"/>
      <c r="FY46" s="580"/>
      <c r="FZ46" s="580"/>
      <c r="GA46" s="580"/>
      <c r="GB46" s="580"/>
      <c r="GC46" s="580"/>
      <c r="GD46" s="580"/>
      <c r="GE46" s="580"/>
      <c r="GF46" s="580"/>
      <c r="GG46" s="580"/>
      <c r="GH46" s="580"/>
      <c r="GI46" s="580"/>
      <c r="GJ46" s="580"/>
      <c r="GK46" s="580"/>
      <c r="GL46" s="580"/>
      <c r="GM46" s="580"/>
      <c r="GN46" s="580"/>
      <c r="GO46" s="580"/>
      <c r="GP46" s="580"/>
      <c r="GQ46" s="580"/>
      <c r="GR46" s="580"/>
      <c r="GS46" s="580"/>
      <c r="GT46" s="580"/>
      <c r="GU46" s="580"/>
      <c r="GV46" s="580"/>
      <c r="GW46" s="580"/>
      <c r="GX46" s="580"/>
      <c r="GY46" s="580"/>
      <c r="GZ46" s="580"/>
      <c r="HA46" s="580"/>
      <c r="HB46" s="580"/>
      <c r="HC46" s="580"/>
      <c r="HD46" s="580"/>
      <c r="HE46" s="580"/>
      <c r="HF46" s="580"/>
      <c r="HG46" s="580"/>
      <c r="HH46" s="580"/>
      <c r="HI46" s="580"/>
      <c r="HJ46" s="580"/>
      <c r="HK46" s="580"/>
      <c r="HL46" s="580"/>
      <c r="HM46" s="580"/>
      <c r="HN46" s="580"/>
      <c r="HO46" s="580"/>
      <c r="HP46" s="580"/>
      <c r="HQ46" s="580"/>
      <c r="HR46" s="580"/>
      <c r="HS46" s="580"/>
      <c r="HT46" s="580"/>
      <c r="HU46" s="580"/>
      <c r="HV46" s="580"/>
      <c r="HW46" s="580"/>
      <c r="HX46" s="580"/>
      <c r="HY46" s="580"/>
      <c r="HZ46" s="580"/>
      <c r="IA46" s="580"/>
      <c r="IB46" s="580"/>
      <c r="IC46" s="580"/>
      <c r="ID46" s="580"/>
      <c r="IE46" s="580"/>
      <c r="IF46" s="580"/>
      <c r="IG46" s="580"/>
      <c r="IH46" s="580"/>
      <c r="II46" s="580"/>
      <c r="IJ46" s="580"/>
      <c r="IK46" s="580"/>
      <c r="IL46" s="580"/>
      <c r="IM46" s="580"/>
      <c r="IN46" s="580"/>
      <c r="IO46" s="580"/>
      <c r="IP46" s="580"/>
      <c r="IQ46" s="580"/>
      <c r="IR46" s="580"/>
      <c r="IS46" s="580"/>
      <c r="IT46" s="580"/>
      <c r="IU46" s="580"/>
      <c r="IV46" s="580"/>
      <c r="IW46" s="580"/>
    </row>
    <row r="47" spans="2:257" ht="14.45" customHeight="1">
      <c r="B47" s="620"/>
      <c r="C47" s="621"/>
      <c r="D47" s="580"/>
      <c r="E47" s="580"/>
      <c r="F47" s="580"/>
      <c r="G47" s="580"/>
      <c r="H47" s="580"/>
      <c r="I47" s="580"/>
      <c r="J47" s="580"/>
      <c r="K47" s="580"/>
      <c r="L47" s="580"/>
      <c r="M47" s="580"/>
      <c r="N47" s="580"/>
      <c r="O47" s="580"/>
      <c r="P47" s="580"/>
      <c r="Q47" s="580"/>
      <c r="R47" s="580"/>
      <c r="S47" s="580"/>
      <c r="T47" s="580"/>
      <c r="U47" s="580"/>
      <c r="V47" s="580"/>
      <c r="W47" s="580"/>
      <c r="X47" s="580"/>
      <c r="Y47" s="580"/>
      <c r="Z47" s="580"/>
      <c r="AA47" s="580"/>
      <c r="AB47" s="580"/>
      <c r="AC47" s="580"/>
      <c r="AD47" s="580"/>
      <c r="AE47" s="580"/>
      <c r="AF47" s="580"/>
      <c r="AG47" s="580"/>
      <c r="AH47" s="580"/>
      <c r="AI47" s="580"/>
      <c r="AJ47" s="580"/>
      <c r="AK47" s="580"/>
      <c r="AL47" s="580"/>
      <c r="AM47" s="580"/>
      <c r="AN47" s="580"/>
      <c r="AO47" s="580"/>
      <c r="AP47" s="580"/>
      <c r="AQ47" s="580"/>
      <c r="AR47" s="580"/>
      <c r="AS47" s="580"/>
      <c r="AT47" s="580"/>
      <c r="AU47" s="580"/>
      <c r="AV47" s="580"/>
      <c r="AW47" s="580"/>
      <c r="AX47" s="580"/>
      <c r="AY47" s="580"/>
      <c r="AZ47" s="580"/>
      <c r="BA47" s="580"/>
      <c r="BB47" s="580"/>
      <c r="BC47" s="580"/>
      <c r="BD47" s="580"/>
      <c r="BE47" s="580"/>
      <c r="BF47" s="580"/>
      <c r="BG47" s="580"/>
      <c r="BH47" s="580"/>
      <c r="BI47" s="580"/>
      <c r="BJ47" s="580"/>
      <c r="BK47" s="580"/>
      <c r="BL47" s="580"/>
      <c r="BM47" s="580"/>
      <c r="BN47" s="580"/>
      <c r="BO47" s="580"/>
      <c r="BP47" s="580"/>
      <c r="BQ47" s="580"/>
      <c r="BR47" s="580"/>
      <c r="BS47" s="580"/>
      <c r="BT47" s="580"/>
      <c r="BU47" s="580"/>
      <c r="BV47" s="580"/>
      <c r="BW47" s="580"/>
      <c r="BX47" s="580"/>
      <c r="BY47" s="580"/>
      <c r="BZ47" s="580"/>
      <c r="CA47" s="580"/>
      <c r="CB47" s="580"/>
      <c r="CC47" s="580"/>
      <c r="CD47" s="580"/>
      <c r="CE47" s="580"/>
      <c r="CF47" s="580"/>
      <c r="CG47" s="580"/>
      <c r="CH47" s="580"/>
      <c r="CI47" s="580"/>
      <c r="CJ47" s="580"/>
      <c r="CK47" s="580"/>
      <c r="CL47" s="580"/>
      <c r="CM47" s="580"/>
      <c r="CN47" s="580"/>
      <c r="CO47" s="580"/>
      <c r="CP47" s="580"/>
      <c r="CQ47" s="580"/>
      <c r="CR47" s="580"/>
      <c r="CS47" s="580"/>
      <c r="CT47" s="580"/>
      <c r="CU47" s="580"/>
      <c r="CV47" s="580"/>
      <c r="CW47" s="580"/>
      <c r="CX47" s="580"/>
      <c r="CY47" s="580"/>
      <c r="CZ47" s="580"/>
      <c r="DA47" s="580"/>
      <c r="DB47" s="580"/>
      <c r="DC47" s="580"/>
      <c r="DD47" s="580"/>
      <c r="DE47" s="580"/>
      <c r="DF47" s="580"/>
      <c r="DG47" s="580"/>
      <c r="DH47" s="580"/>
      <c r="DI47" s="580"/>
      <c r="DJ47" s="580"/>
      <c r="DK47" s="580"/>
      <c r="DL47" s="580"/>
      <c r="DM47" s="580"/>
      <c r="DN47" s="580"/>
      <c r="DO47" s="580"/>
      <c r="DP47" s="580"/>
      <c r="DQ47" s="580"/>
      <c r="DR47" s="580"/>
      <c r="DS47" s="580"/>
      <c r="DT47" s="580"/>
      <c r="DU47" s="580"/>
      <c r="DV47" s="580"/>
      <c r="DW47" s="580"/>
      <c r="DX47" s="580"/>
      <c r="DY47" s="580"/>
      <c r="DZ47" s="580"/>
      <c r="EA47" s="580"/>
      <c r="EB47" s="580"/>
      <c r="EC47" s="580"/>
      <c r="ED47" s="580"/>
      <c r="EE47" s="580"/>
      <c r="EF47" s="580"/>
      <c r="EG47" s="580"/>
      <c r="EH47" s="580"/>
      <c r="EI47" s="580"/>
      <c r="EJ47" s="580"/>
      <c r="EK47" s="580"/>
      <c r="EL47" s="580"/>
      <c r="EM47" s="580"/>
      <c r="EN47" s="580"/>
      <c r="EO47" s="580"/>
      <c r="EP47" s="580"/>
      <c r="EQ47" s="580"/>
      <c r="ER47" s="580"/>
      <c r="ES47" s="580"/>
      <c r="ET47" s="580"/>
      <c r="EU47" s="580"/>
      <c r="EV47" s="580"/>
      <c r="EW47" s="580"/>
      <c r="EX47" s="580"/>
      <c r="EY47" s="580"/>
      <c r="EZ47" s="580"/>
      <c r="FA47" s="580"/>
      <c r="FB47" s="580"/>
      <c r="FC47" s="580"/>
      <c r="FD47" s="580"/>
      <c r="FE47" s="580"/>
      <c r="FF47" s="580"/>
      <c r="FG47" s="580"/>
      <c r="FH47" s="580"/>
      <c r="FI47" s="580"/>
      <c r="FJ47" s="580"/>
      <c r="FK47" s="580"/>
      <c r="FL47" s="580"/>
      <c r="FM47" s="580"/>
      <c r="FN47" s="580"/>
      <c r="FO47" s="580"/>
      <c r="FP47" s="580"/>
      <c r="FQ47" s="580"/>
      <c r="FR47" s="580"/>
      <c r="FS47" s="580"/>
      <c r="FT47" s="580"/>
      <c r="FU47" s="580"/>
      <c r="FV47" s="580"/>
      <c r="FW47" s="580"/>
      <c r="FX47" s="580"/>
      <c r="FY47" s="580"/>
      <c r="FZ47" s="580"/>
      <c r="GA47" s="580"/>
      <c r="GB47" s="580"/>
      <c r="GC47" s="580"/>
      <c r="GD47" s="580"/>
      <c r="GE47" s="580"/>
      <c r="GF47" s="580"/>
      <c r="GG47" s="580"/>
      <c r="GH47" s="580"/>
      <c r="GI47" s="580"/>
      <c r="GJ47" s="580"/>
      <c r="GK47" s="580"/>
      <c r="GL47" s="580"/>
      <c r="GM47" s="580"/>
      <c r="GN47" s="580"/>
      <c r="GO47" s="580"/>
      <c r="GP47" s="580"/>
      <c r="GQ47" s="580"/>
      <c r="GR47" s="580"/>
      <c r="GS47" s="580"/>
      <c r="GT47" s="580"/>
      <c r="GU47" s="580"/>
      <c r="GV47" s="580"/>
      <c r="GW47" s="580"/>
      <c r="GX47" s="580"/>
      <c r="GY47" s="580"/>
      <c r="GZ47" s="580"/>
      <c r="HA47" s="580"/>
      <c r="HB47" s="580"/>
      <c r="HC47" s="580"/>
      <c r="HD47" s="580"/>
      <c r="HE47" s="580"/>
      <c r="HF47" s="580"/>
      <c r="HG47" s="580"/>
      <c r="HH47" s="580"/>
      <c r="HI47" s="580"/>
      <c r="HJ47" s="580"/>
      <c r="HK47" s="580"/>
      <c r="HL47" s="580"/>
      <c r="HM47" s="580"/>
      <c r="HN47" s="580"/>
      <c r="HO47" s="580"/>
      <c r="HP47" s="580"/>
      <c r="HQ47" s="580"/>
      <c r="HR47" s="580"/>
      <c r="HS47" s="580"/>
      <c r="HT47" s="580"/>
      <c r="HU47" s="580"/>
      <c r="HV47" s="580"/>
      <c r="HW47" s="580"/>
      <c r="HX47" s="580"/>
      <c r="HY47" s="580"/>
      <c r="HZ47" s="580"/>
      <c r="IA47" s="580"/>
      <c r="IB47" s="580"/>
      <c r="IC47" s="580"/>
      <c r="ID47" s="580"/>
      <c r="IE47" s="580"/>
      <c r="IF47" s="580"/>
      <c r="IG47" s="580"/>
      <c r="IH47" s="580"/>
      <c r="II47" s="580"/>
      <c r="IJ47" s="580"/>
      <c r="IK47" s="580"/>
      <c r="IL47" s="580"/>
      <c r="IM47" s="580"/>
      <c r="IN47" s="580"/>
      <c r="IO47" s="580"/>
      <c r="IP47" s="580"/>
      <c r="IQ47" s="580"/>
      <c r="IR47" s="580"/>
      <c r="IS47" s="580"/>
      <c r="IT47" s="580"/>
      <c r="IU47" s="580"/>
      <c r="IV47" s="580"/>
      <c r="IW47" s="580"/>
    </row>
    <row r="48" spans="2:257" ht="14.45" customHeight="1">
      <c r="B48" s="620"/>
      <c r="C48" s="621"/>
      <c r="D48" s="580"/>
      <c r="E48" s="580"/>
      <c r="F48" s="580"/>
      <c r="G48" s="580"/>
      <c r="H48" s="580"/>
      <c r="I48" s="580"/>
      <c r="J48" s="580"/>
      <c r="K48" s="580"/>
      <c r="L48" s="580"/>
      <c r="M48" s="580"/>
      <c r="N48" s="580"/>
      <c r="O48" s="580"/>
      <c r="P48" s="580"/>
      <c r="Q48" s="580"/>
      <c r="R48" s="580"/>
      <c r="S48" s="580"/>
      <c r="T48" s="580"/>
      <c r="U48" s="580"/>
      <c r="V48" s="580"/>
      <c r="W48" s="580"/>
      <c r="X48" s="580"/>
      <c r="Y48" s="580"/>
      <c r="Z48" s="580"/>
      <c r="AA48" s="580"/>
      <c r="AB48" s="580"/>
      <c r="AC48" s="580"/>
      <c r="AD48" s="580"/>
      <c r="AE48" s="580"/>
      <c r="AF48" s="580"/>
      <c r="AG48" s="580"/>
      <c r="AH48" s="580"/>
      <c r="AI48" s="580"/>
      <c r="AJ48" s="580"/>
      <c r="AK48" s="580"/>
      <c r="AL48" s="580"/>
      <c r="AM48" s="580"/>
      <c r="AN48" s="580"/>
      <c r="AO48" s="580"/>
      <c r="AP48" s="580"/>
      <c r="AQ48" s="580"/>
      <c r="AR48" s="580"/>
      <c r="AS48" s="580"/>
      <c r="AT48" s="580"/>
      <c r="AU48" s="580"/>
      <c r="AV48" s="580"/>
      <c r="AW48" s="580"/>
      <c r="AX48" s="580"/>
      <c r="AY48" s="580"/>
      <c r="AZ48" s="580"/>
      <c r="BA48" s="580"/>
      <c r="BB48" s="580"/>
      <c r="BC48" s="580"/>
      <c r="BD48" s="580"/>
      <c r="BE48" s="580"/>
      <c r="BF48" s="580"/>
      <c r="BG48" s="580"/>
      <c r="BH48" s="580"/>
      <c r="BI48" s="580"/>
      <c r="BJ48" s="580"/>
      <c r="BK48" s="580"/>
      <c r="BL48" s="580"/>
      <c r="BM48" s="580"/>
      <c r="BN48" s="580"/>
      <c r="BO48" s="580"/>
      <c r="BP48" s="580"/>
      <c r="BQ48" s="580"/>
      <c r="BR48" s="580"/>
      <c r="BS48" s="580"/>
      <c r="BT48" s="580"/>
      <c r="BU48" s="580"/>
      <c r="BV48" s="580"/>
      <c r="BW48" s="580"/>
      <c r="BX48" s="580"/>
      <c r="BY48" s="580"/>
      <c r="BZ48" s="580"/>
      <c r="CA48" s="580"/>
      <c r="CB48" s="580"/>
      <c r="CC48" s="580"/>
      <c r="CD48" s="580"/>
      <c r="CE48" s="580"/>
      <c r="CF48" s="580"/>
      <c r="CG48" s="580"/>
      <c r="CH48" s="580"/>
      <c r="CI48" s="580"/>
      <c r="CJ48" s="580"/>
      <c r="CK48" s="580"/>
      <c r="CL48" s="580"/>
      <c r="CM48" s="580"/>
      <c r="CN48" s="580"/>
      <c r="CO48" s="580"/>
      <c r="CP48" s="580"/>
      <c r="CQ48" s="580"/>
      <c r="CR48" s="580"/>
      <c r="CS48" s="580"/>
      <c r="CT48" s="580"/>
      <c r="CU48" s="580"/>
      <c r="CV48" s="580"/>
      <c r="CW48" s="580"/>
      <c r="CX48" s="580"/>
      <c r="CY48" s="580"/>
      <c r="CZ48" s="580"/>
      <c r="DA48" s="580"/>
      <c r="DB48" s="580"/>
      <c r="DC48" s="580"/>
      <c r="DD48" s="580"/>
      <c r="DE48" s="580"/>
      <c r="DF48" s="580"/>
      <c r="DG48" s="580"/>
      <c r="DH48" s="580"/>
      <c r="DI48" s="580"/>
      <c r="DJ48" s="580"/>
      <c r="DK48" s="580"/>
      <c r="DL48" s="580"/>
      <c r="DM48" s="580"/>
      <c r="DN48" s="580"/>
      <c r="DO48" s="580"/>
      <c r="DP48" s="580"/>
      <c r="DQ48" s="580"/>
      <c r="DR48" s="580"/>
      <c r="DS48" s="580"/>
      <c r="DT48" s="580"/>
      <c r="DU48" s="580"/>
      <c r="DV48" s="580"/>
      <c r="DW48" s="580"/>
      <c r="DX48" s="580"/>
      <c r="DY48" s="580"/>
      <c r="DZ48" s="580"/>
      <c r="EA48" s="580"/>
      <c r="EB48" s="580"/>
      <c r="EC48" s="580"/>
      <c r="ED48" s="580"/>
      <c r="EE48" s="580"/>
      <c r="EF48" s="580"/>
      <c r="EG48" s="580"/>
      <c r="EH48" s="580"/>
      <c r="EI48" s="580"/>
      <c r="EJ48" s="580"/>
      <c r="EK48" s="580"/>
      <c r="EL48" s="580"/>
      <c r="EM48" s="580"/>
      <c r="EN48" s="580"/>
      <c r="EO48" s="580"/>
      <c r="EP48" s="580"/>
      <c r="EQ48" s="580"/>
      <c r="ER48" s="580"/>
      <c r="ES48" s="580"/>
      <c r="ET48" s="580"/>
      <c r="EU48" s="580"/>
      <c r="EV48" s="580"/>
      <c r="EW48" s="580"/>
      <c r="EX48" s="580"/>
      <c r="EY48" s="580"/>
      <c r="EZ48" s="580"/>
      <c r="FA48" s="580"/>
      <c r="FB48" s="580"/>
      <c r="FC48" s="580"/>
      <c r="FD48" s="580"/>
      <c r="FE48" s="580"/>
      <c r="FF48" s="580"/>
      <c r="FG48" s="580"/>
      <c r="FH48" s="580"/>
      <c r="FI48" s="580"/>
      <c r="FJ48" s="580"/>
      <c r="FK48" s="580"/>
      <c r="FL48" s="580"/>
      <c r="FM48" s="580"/>
      <c r="FN48" s="580"/>
      <c r="FO48" s="580"/>
      <c r="FP48" s="580"/>
      <c r="FQ48" s="580"/>
      <c r="FR48" s="580"/>
      <c r="FS48" s="580"/>
      <c r="FT48" s="580"/>
      <c r="FU48" s="580"/>
      <c r="FV48" s="580"/>
      <c r="FW48" s="580"/>
      <c r="FX48" s="580"/>
      <c r="FY48" s="580"/>
      <c r="FZ48" s="580"/>
      <c r="GA48" s="580"/>
      <c r="GB48" s="580"/>
      <c r="GC48" s="580"/>
      <c r="GD48" s="580"/>
      <c r="GE48" s="580"/>
      <c r="GF48" s="580"/>
      <c r="GG48" s="580"/>
      <c r="GH48" s="580"/>
      <c r="GI48" s="580"/>
      <c r="GJ48" s="580"/>
      <c r="GK48" s="580"/>
      <c r="GL48" s="580"/>
      <c r="GM48" s="580"/>
      <c r="GN48" s="580"/>
      <c r="GO48" s="580"/>
      <c r="GP48" s="580"/>
      <c r="GQ48" s="580"/>
      <c r="GR48" s="580"/>
      <c r="GS48" s="580"/>
      <c r="GT48" s="580"/>
      <c r="GU48" s="580"/>
      <c r="GV48" s="580"/>
      <c r="GW48" s="580"/>
      <c r="GX48" s="580"/>
      <c r="GY48" s="580"/>
      <c r="GZ48" s="580"/>
      <c r="HA48" s="580"/>
      <c r="HB48" s="580"/>
      <c r="HC48" s="580"/>
      <c r="HD48" s="580"/>
      <c r="HE48" s="580"/>
      <c r="HF48" s="580"/>
      <c r="HG48" s="580"/>
      <c r="HH48" s="580"/>
      <c r="HI48" s="580"/>
      <c r="HJ48" s="580"/>
      <c r="HK48" s="580"/>
      <c r="HL48" s="580"/>
      <c r="HM48" s="580"/>
      <c r="HN48" s="580"/>
      <c r="HO48" s="580"/>
      <c r="HP48" s="580"/>
      <c r="HQ48" s="580"/>
      <c r="HR48" s="580"/>
      <c r="HS48" s="580"/>
      <c r="HT48" s="580"/>
      <c r="HU48" s="580"/>
      <c r="HV48" s="580"/>
      <c r="HW48" s="580"/>
      <c r="HX48" s="580"/>
      <c r="HY48" s="580"/>
      <c r="HZ48" s="580"/>
      <c r="IA48" s="580"/>
      <c r="IB48" s="580"/>
      <c r="IC48" s="580"/>
      <c r="ID48" s="580"/>
      <c r="IE48" s="580"/>
      <c r="IF48" s="580"/>
      <c r="IG48" s="580"/>
      <c r="IH48" s="580"/>
      <c r="II48" s="580"/>
      <c r="IJ48" s="580"/>
      <c r="IK48" s="580"/>
      <c r="IL48" s="580"/>
      <c r="IM48" s="580"/>
      <c r="IN48" s="580"/>
      <c r="IO48" s="580"/>
      <c r="IP48" s="580"/>
      <c r="IQ48" s="580"/>
      <c r="IR48" s="580"/>
      <c r="IS48" s="580"/>
      <c r="IT48" s="580"/>
      <c r="IU48" s="580"/>
      <c r="IV48" s="580"/>
      <c r="IW48" s="580"/>
    </row>
    <row r="49" spans="2:16" ht="14.45" customHeight="1">
      <c r="B49" s="620"/>
      <c r="C49" s="620"/>
      <c r="D49" s="580"/>
      <c r="E49" s="580"/>
      <c r="F49" s="580"/>
      <c r="G49" s="580"/>
      <c r="H49" s="580"/>
      <c r="I49" s="580"/>
      <c r="J49" s="580"/>
      <c r="K49" s="580"/>
      <c r="L49" s="580"/>
      <c r="M49" s="580"/>
      <c r="N49" s="580"/>
      <c r="O49" s="580"/>
      <c r="P49" s="580"/>
    </row>
    <row r="50" spans="2:16" ht="15.2" customHeight="1">
      <c r="B50" s="620"/>
      <c r="C50" s="620"/>
      <c r="D50" s="580"/>
      <c r="E50" s="580"/>
      <c r="F50" s="580"/>
      <c r="G50" s="580"/>
      <c r="H50" s="580"/>
      <c r="I50" s="580"/>
      <c r="J50" s="580"/>
      <c r="K50" s="580"/>
      <c r="L50" s="580"/>
      <c r="M50" s="580"/>
      <c r="N50" s="580"/>
      <c r="O50" s="580"/>
      <c r="P50" s="580"/>
    </row>
    <row r="51" spans="2:16" ht="14.45" customHeight="1">
      <c r="B51" s="622"/>
      <c r="C51" s="623"/>
      <c r="D51" s="580"/>
      <c r="E51" s="580"/>
      <c r="F51" s="580"/>
      <c r="G51" s="580"/>
      <c r="H51" s="580"/>
      <c r="I51" s="580"/>
      <c r="J51" s="580"/>
      <c r="K51" s="580"/>
      <c r="L51" s="580"/>
      <c r="M51" s="580"/>
      <c r="N51" s="580"/>
      <c r="O51" s="580"/>
      <c r="P51" s="580"/>
    </row>
    <row r="52" spans="2:16" ht="14.45" customHeight="1">
      <c r="B52" s="622"/>
      <c r="C52" s="623"/>
      <c r="D52" s="580"/>
      <c r="E52" s="580"/>
      <c r="F52" s="580"/>
      <c r="G52" s="580"/>
      <c r="H52" s="580"/>
      <c r="I52" s="580"/>
      <c r="J52" s="580"/>
      <c r="K52" s="580"/>
      <c r="L52" s="580"/>
      <c r="M52" s="580"/>
      <c r="N52" s="580"/>
      <c r="O52" s="580"/>
      <c r="P52" s="580"/>
    </row>
    <row r="53" spans="2:16" ht="14.45" customHeight="1">
      <c r="B53" s="622"/>
      <c r="C53" s="624"/>
      <c r="D53" s="580"/>
      <c r="E53" s="580"/>
      <c r="F53" s="580"/>
      <c r="G53" s="580"/>
      <c r="H53" s="580"/>
      <c r="I53" s="580"/>
      <c r="J53" s="580"/>
      <c r="K53" s="580"/>
      <c r="L53" s="580"/>
      <c r="M53" s="580"/>
      <c r="N53" s="580"/>
      <c r="O53" s="580"/>
      <c r="P53" s="580"/>
    </row>
    <row r="54" spans="2:16" ht="14.45" customHeight="1">
      <c r="B54" s="622"/>
      <c r="C54" s="625"/>
      <c r="D54" s="580"/>
      <c r="E54" s="580"/>
      <c r="F54" s="580"/>
      <c r="G54" s="580"/>
      <c r="H54" s="580"/>
      <c r="I54" s="580"/>
      <c r="J54" s="580"/>
      <c r="K54" s="580"/>
      <c r="L54" s="580"/>
      <c r="M54" s="580"/>
      <c r="N54" s="580"/>
      <c r="O54" s="580"/>
      <c r="P54" s="580"/>
    </row>
    <row r="55" spans="2:16" ht="15.2" customHeight="1">
      <c r="B55" s="623"/>
      <c r="C55" s="622"/>
      <c r="D55" s="580"/>
      <c r="E55" s="580"/>
      <c r="F55" s="580"/>
      <c r="G55" s="580"/>
      <c r="H55" s="580"/>
      <c r="I55" s="580"/>
      <c r="J55" s="580"/>
      <c r="K55" s="580"/>
      <c r="L55" s="580"/>
      <c r="M55" s="580"/>
      <c r="N55" s="580"/>
      <c r="O55" s="580"/>
      <c r="P55" s="580"/>
    </row>
    <row r="56" spans="2:16" ht="14.45" customHeight="1">
      <c r="B56" s="623"/>
      <c r="C56" s="620"/>
      <c r="D56" s="580"/>
      <c r="E56" s="580"/>
      <c r="F56" s="580"/>
      <c r="G56" s="580"/>
      <c r="H56" s="580"/>
      <c r="I56" s="580"/>
      <c r="J56" s="580"/>
      <c r="K56" s="580"/>
      <c r="L56" s="580"/>
      <c r="M56" s="580"/>
      <c r="N56" s="580"/>
      <c r="O56" s="580"/>
      <c r="P56" s="580"/>
    </row>
    <row r="57" spans="2:16" ht="14.45" customHeight="1">
      <c r="B57" s="623"/>
      <c r="C57" s="620"/>
      <c r="D57" s="580"/>
      <c r="E57" s="580"/>
      <c r="F57" s="580"/>
      <c r="G57" s="580"/>
      <c r="H57" s="580"/>
      <c r="I57" s="580"/>
      <c r="J57" s="580"/>
      <c r="K57" s="580"/>
      <c r="L57" s="580"/>
      <c r="M57" s="580"/>
      <c r="N57" s="580"/>
      <c r="O57" s="580"/>
      <c r="P57" s="580"/>
    </row>
    <row r="58" spans="2:16" ht="14.45" customHeight="1">
      <c r="B58" s="623"/>
      <c r="C58" s="620"/>
      <c r="D58" s="580"/>
      <c r="E58" s="580"/>
      <c r="F58" s="580"/>
      <c r="G58" s="580"/>
      <c r="H58" s="580"/>
      <c r="I58" s="580"/>
      <c r="J58" s="580"/>
      <c r="K58" s="580"/>
      <c r="L58" s="580"/>
      <c r="M58" s="580"/>
      <c r="N58" s="580"/>
      <c r="O58" s="580"/>
      <c r="P58" s="580"/>
    </row>
    <row r="59" spans="2:16" ht="14.45" customHeight="1">
      <c r="B59" s="623"/>
      <c r="C59" s="620"/>
      <c r="D59" s="580"/>
      <c r="E59" s="580"/>
      <c r="F59" s="580"/>
      <c r="G59" s="580"/>
      <c r="H59" s="580"/>
      <c r="I59" s="580"/>
      <c r="J59" s="580"/>
      <c r="K59" s="580"/>
      <c r="L59" s="580"/>
      <c r="M59" s="580"/>
      <c r="N59" s="580"/>
      <c r="O59" s="580"/>
      <c r="P59" s="580"/>
    </row>
    <row r="60" spans="2:16" ht="14.25" customHeight="1">
      <c r="B60" s="623"/>
      <c r="C60" s="620"/>
      <c r="D60" s="580"/>
      <c r="E60" s="580"/>
      <c r="F60" s="580"/>
      <c r="G60" s="580"/>
      <c r="H60" s="580"/>
      <c r="I60" s="580"/>
      <c r="J60" s="580"/>
      <c r="K60" s="580"/>
      <c r="L60" s="580"/>
      <c r="M60" s="580"/>
      <c r="N60" s="580"/>
      <c r="O60" s="580"/>
      <c r="P60" s="580"/>
    </row>
    <row r="61" spans="2:16" ht="14.45" customHeight="1">
      <c r="B61" s="623"/>
      <c r="C61" s="620"/>
      <c r="D61" s="580"/>
      <c r="E61" s="580"/>
      <c r="F61" s="580"/>
      <c r="G61" s="580"/>
      <c r="H61" s="580"/>
      <c r="I61" s="580"/>
      <c r="J61" s="580"/>
      <c r="K61" s="580"/>
      <c r="L61" s="580"/>
      <c r="M61" s="580"/>
      <c r="N61" s="580"/>
      <c r="O61" s="580"/>
      <c r="P61" s="626" t="s">
        <v>978</v>
      </c>
    </row>
    <row r="62" spans="2:16" ht="14.45" customHeight="1">
      <c r="B62" s="623"/>
      <c r="C62" s="620"/>
      <c r="D62" s="580"/>
      <c r="E62" s="580"/>
      <c r="F62" s="580"/>
      <c r="G62" s="580"/>
      <c r="H62" s="580"/>
      <c r="I62" s="580"/>
      <c r="J62" s="580"/>
      <c r="K62" s="580"/>
      <c r="L62" s="580"/>
      <c r="M62" s="580"/>
      <c r="N62" s="580"/>
      <c r="O62" s="580"/>
      <c r="P62" s="626" t="s">
        <v>994</v>
      </c>
    </row>
    <row r="63" spans="2:16" ht="14.45" customHeight="1">
      <c r="B63" s="623"/>
      <c r="C63" s="620"/>
      <c r="D63" s="580"/>
      <c r="E63" s="580"/>
      <c r="F63" s="580"/>
      <c r="G63" s="580"/>
      <c r="H63" s="580"/>
      <c r="I63" s="580"/>
      <c r="J63" s="580"/>
      <c r="K63" s="580"/>
      <c r="L63" s="580"/>
      <c r="M63" s="580"/>
      <c r="N63" s="580"/>
      <c r="O63" s="580"/>
      <c r="P63" s="626" t="s">
        <v>979</v>
      </c>
    </row>
    <row r="64" spans="2:16" ht="27" customHeight="1">
      <c r="B64" s="623"/>
      <c r="C64" s="620"/>
      <c r="D64" s="620"/>
      <c r="E64" s="580"/>
      <c r="F64" s="580"/>
      <c r="G64" s="580"/>
      <c r="H64" s="580"/>
      <c r="I64" s="580"/>
      <c r="J64" s="580"/>
      <c r="K64" s="580"/>
      <c r="L64" s="580"/>
      <c r="M64" s="580"/>
      <c r="N64" s="580"/>
      <c r="O64" s="580"/>
      <c r="P64" s="580"/>
    </row>
    <row r="65" spans="2:19" ht="15.75">
      <c r="B65" s="623"/>
      <c r="C65" s="620"/>
      <c r="D65" s="419"/>
      <c r="E65" s="590"/>
      <c r="F65" s="590"/>
      <c r="G65" s="590"/>
      <c r="H65" s="590"/>
      <c r="I65" s="590"/>
      <c r="J65" s="590"/>
      <c r="K65" s="590"/>
      <c r="L65" s="590"/>
      <c r="M65" s="590"/>
      <c r="N65" s="590"/>
      <c r="O65" s="590"/>
      <c r="P65" s="590"/>
      <c r="Q65" s="590"/>
      <c r="R65" s="590"/>
      <c r="S65" s="590"/>
    </row>
    <row r="66" spans="2:19" ht="23.45" customHeight="1">
      <c r="B66" s="623"/>
      <c r="C66" s="622"/>
      <c r="D66" s="590"/>
      <c r="E66" s="590"/>
      <c r="F66" s="590"/>
      <c r="G66" s="590"/>
      <c r="H66" s="590"/>
      <c r="I66" s="590"/>
      <c r="J66" s="590"/>
      <c r="K66" s="590"/>
      <c r="L66" s="590"/>
      <c r="M66" s="590"/>
      <c r="N66" s="590"/>
      <c r="O66" s="590"/>
      <c r="P66" s="627" t="s">
        <v>993</v>
      </c>
      <c r="Q66" s="590"/>
      <c r="R66" s="590"/>
      <c r="S66" s="590"/>
    </row>
    <row r="67" spans="2:19" ht="24.2" customHeight="1">
      <c r="B67" s="623"/>
      <c r="C67" s="622"/>
      <c r="D67" s="627"/>
      <c r="E67" s="590"/>
      <c r="F67" s="590"/>
      <c r="G67" s="590"/>
      <c r="H67" s="590"/>
      <c r="I67" s="590"/>
      <c r="J67" s="590"/>
      <c r="K67" s="590"/>
      <c r="L67" s="590"/>
      <c r="M67" s="590"/>
      <c r="N67" s="590"/>
      <c r="O67" s="590"/>
      <c r="P67" s="590"/>
      <c r="Q67" s="590"/>
      <c r="R67" s="590"/>
      <c r="S67" s="590"/>
    </row>
    <row r="68" spans="2:19" ht="96" customHeight="1">
      <c r="B68" s="623"/>
      <c r="C68" s="622"/>
      <c r="D68" s="710" t="s">
        <v>1251</v>
      </c>
      <c r="E68" s="710"/>
      <c r="F68" s="710"/>
      <c r="G68" s="710"/>
      <c r="H68" s="710"/>
      <c r="I68" s="710"/>
      <c r="J68" s="710"/>
      <c r="K68" s="710"/>
      <c r="L68" s="710"/>
      <c r="M68" s="710"/>
      <c r="N68" s="710"/>
      <c r="O68" s="710"/>
      <c r="P68" s="710"/>
      <c r="Q68" s="710"/>
      <c r="R68" s="710"/>
      <c r="S68" s="710"/>
    </row>
    <row r="69" spans="2:19" ht="14.45" customHeight="1">
      <c r="B69" s="623"/>
      <c r="C69" s="622"/>
      <c r="D69" s="628"/>
      <c r="E69" s="628"/>
      <c r="F69" s="628"/>
      <c r="G69" s="628"/>
      <c r="H69" s="628"/>
      <c r="I69" s="628"/>
      <c r="J69" s="628"/>
      <c r="K69" s="628"/>
      <c r="L69" s="628"/>
      <c r="M69" s="628"/>
      <c r="N69" s="628"/>
      <c r="O69" s="628"/>
      <c r="P69" s="628"/>
      <c r="Q69" s="628"/>
      <c r="R69" s="628"/>
      <c r="S69" s="628"/>
    </row>
    <row r="70" spans="2:19" ht="15.75">
      <c r="B70" s="622"/>
      <c r="C70" s="622"/>
      <c r="D70" s="711" t="s">
        <v>980</v>
      </c>
      <c r="E70" s="711"/>
      <c r="F70" s="711"/>
      <c r="G70" s="711"/>
      <c r="H70" s="711"/>
      <c r="I70" s="711"/>
      <c r="J70" s="711"/>
      <c r="K70" s="711"/>
      <c r="L70" s="711"/>
      <c r="M70" s="711"/>
      <c r="N70" s="711"/>
      <c r="O70" s="711"/>
      <c r="P70" s="711"/>
      <c r="Q70" s="711"/>
      <c r="R70" s="711"/>
      <c r="S70" s="711"/>
    </row>
    <row r="71" spans="2:19" ht="15.75">
      <c r="B71" s="622"/>
      <c r="C71" s="623">
        <v>1</v>
      </c>
      <c r="D71" s="613" t="s">
        <v>981</v>
      </c>
      <c r="E71" s="614"/>
      <c r="F71" s="614"/>
      <c r="G71" s="614"/>
      <c r="H71" s="614"/>
      <c r="I71" s="614"/>
      <c r="J71" s="614"/>
      <c r="K71" s="614"/>
      <c r="L71" s="614"/>
      <c r="M71" s="614"/>
      <c r="N71" s="614"/>
      <c r="O71" s="614"/>
      <c r="P71" s="614"/>
      <c r="Q71" s="614"/>
      <c r="R71" s="590"/>
      <c r="S71" s="590"/>
    </row>
    <row r="72" spans="2:19" ht="15.75">
      <c r="B72" s="622"/>
      <c r="C72" s="623"/>
      <c r="D72" s="613" t="s">
        <v>982</v>
      </c>
      <c r="E72" s="614"/>
      <c r="F72" s="614"/>
      <c r="G72" s="614"/>
      <c r="H72" s="614"/>
      <c r="I72" s="614"/>
      <c r="J72" s="614"/>
      <c r="K72" s="614"/>
      <c r="L72" s="614"/>
      <c r="M72" s="614"/>
      <c r="N72" s="614"/>
      <c r="O72" s="614"/>
      <c r="P72" s="614"/>
      <c r="Q72" s="614"/>
      <c r="R72" s="590"/>
      <c r="S72" s="590"/>
    </row>
    <row r="73" spans="2:19" ht="15.75">
      <c r="B73" s="622"/>
      <c r="C73" s="623"/>
      <c r="D73" s="419"/>
      <c r="E73" s="590"/>
      <c r="F73" s="590"/>
      <c r="G73" s="590"/>
      <c r="H73" s="590"/>
      <c r="I73" s="590"/>
      <c r="J73" s="590"/>
      <c r="K73" s="590"/>
      <c r="L73" s="590"/>
      <c r="M73" s="590"/>
      <c r="N73" s="590"/>
      <c r="O73" s="590"/>
      <c r="P73" s="590"/>
      <c r="Q73" s="590"/>
      <c r="R73" s="590"/>
      <c r="S73" s="590"/>
    </row>
    <row r="74" spans="2:19" ht="15.75">
      <c r="B74" s="622"/>
      <c r="C74" s="623">
        <v>2</v>
      </c>
      <c r="D74" s="613" t="s">
        <v>983</v>
      </c>
      <c r="E74" s="590"/>
      <c r="F74" s="590"/>
      <c r="G74" s="590"/>
      <c r="H74" s="590"/>
      <c r="I74" s="590"/>
      <c r="J74" s="590"/>
      <c r="K74" s="590"/>
      <c r="L74" s="590"/>
      <c r="M74" s="590"/>
      <c r="N74" s="590"/>
      <c r="O74" s="590"/>
      <c r="P74" s="590"/>
      <c r="Q74" s="590"/>
      <c r="R74" s="590"/>
      <c r="S74" s="590"/>
    </row>
    <row r="75" spans="2:19" ht="15.75">
      <c r="B75" s="622"/>
      <c r="C75" s="623"/>
      <c r="D75" s="419"/>
      <c r="E75" s="590"/>
      <c r="F75" s="590"/>
      <c r="G75" s="590"/>
      <c r="H75" s="590"/>
      <c r="I75" s="590"/>
      <c r="J75" s="590"/>
      <c r="K75" s="590"/>
      <c r="L75" s="590"/>
      <c r="M75" s="590"/>
      <c r="N75" s="590"/>
      <c r="O75" s="590"/>
      <c r="P75" s="590"/>
      <c r="Q75" s="590"/>
      <c r="R75" s="590"/>
      <c r="S75" s="590"/>
    </row>
    <row r="76" spans="2:19" ht="15.75">
      <c r="B76" s="622"/>
      <c r="C76" s="623">
        <v>3</v>
      </c>
      <c r="D76" s="596" t="s">
        <v>984</v>
      </c>
      <c r="E76" s="590"/>
      <c r="F76" s="590"/>
      <c r="G76" s="590"/>
      <c r="H76" s="590"/>
      <c r="I76" s="590"/>
      <c r="J76" s="590"/>
      <c r="K76" s="590"/>
      <c r="L76" s="590"/>
      <c r="M76" s="590"/>
      <c r="N76" s="590"/>
      <c r="O76" s="590"/>
      <c r="P76" s="590"/>
      <c r="Q76" s="590"/>
      <c r="R76" s="590"/>
      <c r="S76" s="590"/>
    </row>
    <row r="77" spans="2:19" ht="15.75">
      <c r="B77" s="580"/>
      <c r="C77" s="623"/>
      <c r="D77" s="613" t="s">
        <v>985</v>
      </c>
      <c r="E77" s="590"/>
      <c r="F77" s="590"/>
      <c r="G77" s="590"/>
      <c r="H77" s="590"/>
      <c r="I77" s="590"/>
      <c r="J77" s="590"/>
      <c r="K77" s="590"/>
      <c r="L77" s="590"/>
      <c r="M77" s="590"/>
      <c r="N77" s="590"/>
      <c r="O77" s="590"/>
      <c r="P77" s="590"/>
      <c r="Q77" s="590"/>
      <c r="R77" s="590"/>
      <c r="S77" s="590"/>
    </row>
    <row r="78" spans="2:19" ht="15.75">
      <c r="B78" s="580"/>
      <c r="C78" s="623"/>
      <c r="D78" s="419"/>
      <c r="E78" s="590"/>
      <c r="F78" s="590"/>
      <c r="G78" s="590"/>
      <c r="H78" s="590"/>
      <c r="I78" s="590"/>
      <c r="J78" s="590"/>
      <c r="K78" s="590"/>
      <c r="L78" s="590"/>
      <c r="M78" s="590"/>
      <c r="N78" s="590"/>
      <c r="O78" s="590"/>
      <c r="P78" s="590"/>
      <c r="Q78" s="590"/>
      <c r="R78" s="590"/>
      <c r="S78" s="590"/>
    </row>
    <row r="79" spans="2:19" ht="15.75">
      <c r="B79" s="580"/>
      <c r="C79" s="623">
        <v>4</v>
      </c>
      <c r="D79" s="613" t="s">
        <v>986</v>
      </c>
      <c r="E79" s="613"/>
      <c r="F79" s="613"/>
      <c r="G79" s="613"/>
      <c r="H79" s="613"/>
      <c r="I79" s="613"/>
      <c r="J79" s="613"/>
      <c r="K79" s="613"/>
      <c r="L79" s="613"/>
      <c r="M79" s="613"/>
      <c r="N79" s="613"/>
      <c r="O79" s="613"/>
      <c r="P79" s="613"/>
      <c r="Q79" s="613"/>
      <c r="R79" s="613"/>
      <c r="S79" s="613"/>
    </row>
    <row r="80" spans="2:19" ht="15.75">
      <c r="B80" s="580"/>
      <c r="C80" s="623"/>
      <c r="D80" s="613" t="s">
        <v>987</v>
      </c>
      <c r="E80" s="613"/>
      <c r="F80" s="613"/>
      <c r="G80" s="613"/>
      <c r="H80" s="613"/>
      <c r="I80" s="613"/>
      <c r="J80" s="613"/>
      <c r="K80" s="613"/>
      <c r="L80" s="613"/>
      <c r="M80" s="613"/>
      <c r="N80" s="613"/>
      <c r="O80" s="613"/>
      <c r="P80" s="613"/>
      <c r="Q80" s="613"/>
      <c r="R80" s="613"/>
      <c r="S80" s="613"/>
    </row>
    <row r="81" spans="2:19" ht="15.75">
      <c r="B81" s="580"/>
      <c r="C81" s="623"/>
      <c r="D81" s="629"/>
      <c r="E81" s="629"/>
      <c r="F81" s="629"/>
      <c r="G81" s="629"/>
      <c r="H81" s="629"/>
      <c r="I81" s="629"/>
      <c r="J81" s="629"/>
      <c r="K81" s="629"/>
      <c r="L81" s="629"/>
      <c r="M81" s="629"/>
      <c r="N81" s="629"/>
      <c r="O81" s="629"/>
      <c r="P81" s="629"/>
      <c r="Q81" s="629"/>
      <c r="R81" s="629"/>
      <c r="S81" s="629"/>
    </row>
    <row r="82" spans="2:19" ht="15.75">
      <c r="B82" s="580"/>
      <c r="C82" s="623">
        <v>5</v>
      </c>
      <c r="D82" s="613" t="s">
        <v>988</v>
      </c>
      <c r="E82" s="590"/>
      <c r="F82" s="590"/>
      <c r="G82" s="590"/>
      <c r="H82" s="590"/>
      <c r="I82" s="590"/>
      <c r="J82" s="590"/>
      <c r="K82" s="590"/>
      <c r="L82" s="590"/>
      <c r="M82" s="590"/>
      <c r="N82" s="590"/>
      <c r="O82" s="590"/>
      <c r="P82" s="590"/>
      <c r="Q82" s="590"/>
      <c r="R82" s="590"/>
      <c r="S82" s="590"/>
    </row>
    <row r="83" spans="2:19" ht="15.75">
      <c r="B83" s="580"/>
      <c r="C83" s="623"/>
      <c r="D83" s="613" t="s">
        <v>989</v>
      </c>
      <c r="E83" s="590"/>
      <c r="F83" s="590"/>
      <c r="G83" s="590"/>
      <c r="H83" s="590"/>
      <c r="I83" s="590"/>
      <c r="J83" s="590"/>
      <c r="K83" s="590"/>
      <c r="L83" s="590"/>
      <c r="M83" s="590"/>
      <c r="N83" s="590"/>
      <c r="O83" s="590"/>
      <c r="P83" s="590"/>
      <c r="Q83" s="590"/>
      <c r="R83" s="590"/>
      <c r="S83" s="590"/>
    </row>
    <row r="84" spans="2:19" ht="15.75">
      <c r="B84" s="580"/>
      <c r="C84" s="623"/>
      <c r="D84" s="419"/>
      <c r="E84" s="590"/>
      <c r="F84" s="590"/>
      <c r="G84" s="590"/>
      <c r="H84" s="590"/>
      <c r="I84" s="590"/>
      <c r="J84" s="590"/>
      <c r="K84" s="590"/>
      <c r="L84" s="590"/>
      <c r="M84" s="590"/>
      <c r="N84" s="590"/>
      <c r="O84" s="590"/>
      <c r="P84" s="590"/>
      <c r="Q84" s="590"/>
      <c r="R84" s="590"/>
      <c r="S84" s="590"/>
    </row>
    <row r="85" spans="2:19" ht="15.75">
      <c r="B85" s="580"/>
      <c r="C85" s="623">
        <v>6</v>
      </c>
      <c r="D85" s="613" t="s">
        <v>990</v>
      </c>
      <c r="E85" s="590"/>
      <c r="F85" s="590"/>
      <c r="G85" s="590"/>
      <c r="H85" s="590"/>
      <c r="I85" s="590"/>
      <c r="J85" s="590"/>
      <c r="K85" s="590"/>
      <c r="L85" s="590"/>
      <c r="M85" s="590"/>
      <c r="N85" s="590"/>
      <c r="O85" s="590"/>
      <c r="P85" s="590"/>
      <c r="Q85" s="590"/>
      <c r="R85" s="590"/>
      <c r="S85" s="590"/>
    </row>
    <row r="86" spans="2:19" ht="15.75">
      <c r="B86" s="580"/>
      <c r="C86" s="623"/>
      <c r="D86" s="613" t="s">
        <v>991</v>
      </c>
      <c r="E86" s="590"/>
      <c r="F86" s="590"/>
      <c r="G86" s="590"/>
      <c r="H86" s="590"/>
      <c r="I86" s="590"/>
      <c r="J86" s="590"/>
      <c r="K86" s="590"/>
      <c r="L86" s="590"/>
      <c r="M86" s="590"/>
      <c r="N86" s="590"/>
      <c r="O86" s="590"/>
      <c r="P86" s="590"/>
      <c r="Q86" s="590"/>
      <c r="R86" s="590"/>
      <c r="S86" s="590"/>
    </row>
    <row r="87" spans="2:19" ht="15.75">
      <c r="B87" s="580"/>
      <c r="C87" s="622"/>
      <c r="D87" s="419"/>
      <c r="E87" s="590"/>
      <c r="F87" s="590"/>
      <c r="G87" s="590"/>
      <c r="H87" s="590"/>
      <c r="I87" s="590"/>
      <c r="J87" s="590"/>
      <c r="K87" s="590"/>
      <c r="L87" s="590"/>
      <c r="M87" s="590"/>
      <c r="N87" s="590"/>
      <c r="O87" s="590"/>
      <c r="P87" s="590"/>
      <c r="Q87" s="590"/>
      <c r="R87" s="590"/>
      <c r="S87" s="590"/>
    </row>
    <row r="88" spans="2:19" ht="15.75">
      <c r="B88" s="580"/>
      <c r="C88" s="622"/>
      <c r="D88" s="630"/>
      <c r="E88" s="590"/>
      <c r="F88" s="590"/>
      <c r="G88" s="590"/>
      <c r="H88" s="590"/>
      <c r="I88" s="590"/>
      <c r="J88" s="590"/>
      <c r="K88" s="590"/>
      <c r="L88" s="590"/>
      <c r="M88" s="590"/>
      <c r="N88" s="590"/>
      <c r="O88" s="590"/>
      <c r="P88" s="590"/>
      <c r="Q88" s="590"/>
      <c r="R88" s="590"/>
      <c r="S88" s="590"/>
    </row>
    <row r="89" spans="2:19" ht="15.75">
      <c r="B89" s="580"/>
      <c r="C89" s="622"/>
      <c r="D89" s="419" t="s">
        <v>992</v>
      </c>
      <c r="E89" s="419"/>
      <c r="F89" s="419"/>
      <c r="G89" s="419"/>
      <c r="H89" s="419"/>
      <c r="I89" s="419"/>
      <c r="J89" s="419"/>
      <c r="K89" s="419"/>
      <c r="L89" s="419"/>
      <c r="M89" s="419"/>
      <c r="N89" s="419"/>
      <c r="O89" s="419"/>
      <c r="P89" s="419"/>
      <c r="Q89" s="419" t="s">
        <v>638</v>
      </c>
      <c r="R89" s="419"/>
      <c r="S89" s="419"/>
    </row>
    <row r="90" spans="2:19" ht="15.75">
      <c r="B90" s="580"/>
      <c r="C90" s="622"/>
      <c r="D90" s="630"/>
      <c r="E90" s="590"/>
      <c r="F90" s="590"/>
      <c r="G90" s="590"/>
      <c r="H90" s="590"/>
      <c r="I90" s="590"/>
      <c r="J90" s="590"/>
      <c r="K90" s="590"/>
      <c r="L90" s="590"/>
      <c r="M90" s="590"/>
      <c r="N90" s="590"/>
      <c r="O90" s="590"/>
      <c r="P90" s="590"/>
      <c r="Q90" s="590"/>
      <c r="R90" s="590"/>
      <c r="S90" s="590"/>
    </row>
    <row r="91" spans="2:19" ht="15.75">
      <c r="B91" s="580"/>
      <c r="C91" s="622"/>
      <c r="D91" s="419" t="s">
        <v>873</v>
      </c>
      <c r="E91" s="419"/>
      <c r="F91" s="419"/>
      <c r="G91" s="419"/>
      <c r="H91" s="419"/>
      <c r="I91" s="419"/>
      <c r="J91" s="419"/>
      <c r="K91" s="419"/>
      <c r="L91" s="419"/>
      <c r="M91" s="419"/>
      <c r="N91" s="419"/>
      <c r="O91" s="419"/>
      <c r="P91" s="419"/>
      <c r="Q91" s="419"/>
      <c r="R91" s="420" t="s">
        <v>639</v>
      </c>
      <c r="S91" s="419"/>
    </row>
    <row r="92" spans="2:19" ht="15.75">
      <c r="B92" s="580"/>
      <c r="C92" s="611"/>
      <c r="D92" s="612"/>
      <c r="E92" s="612"/>
      <c r="F92" s="612"/>
      <c r="G92" s="612"/>
      <c r="H92" s="612"/>
      <c r="I92" s="612"/>
      <c r="J92" s="612"/>
      <c r="K92" s="612"/>
      <c r="L92" s="612"/>
      <c r="M92" s="612"/>
      <c r="N92" s="612"/>
      <c r="O92" s="612"/>
      <c r="P92" s="612"/>
      <c r="Q92" s="612"/>
      <c r="R92" s="612"/>
      <c r="S92" s="612"/>
    </row>
    <row r="93" spans="2:19">
      <c r="B93" s="712"/>
      <c r="C93" s="712"/>
      <c r="D93" s="712"/>
      <c r="E93" s="712"/>
      <c r="F93" s="712"/>
      <c r="G93" s="712"/>
      <c r="H93" s="712"/>
      <c r="I93" s="712"/>
      <c r="J93" s="712"/>
      <c r="K93" s="712"/>
      <c r="L93" s="712"/>
      <c r="M93" s="712"/>
      <c r="N93" s="712"/>
      <c r="O93" s="712"/>
      <c r="P93" s="712"/>
      <c r="Q93" s="712"/>
      <c r="R93" s="712"/>
      <c r="S93" s="712"/>
    </row>
  </sheetData>
  <mergeCells count="17">
    <mergeCell ref="E40:O40"/>
    <mergeCell ref="Q40:R40"/>
    <mergeCell ref="D68:S68"/>
    <mergeCell ref="D70:S70"/>
    <mergeCell ref="B93:S93"/>
    <mergeCell ref="H10:N10"/>
    <mergeCell ref="H12:N12"/>
    <mergeCell ref="H24:R24"/>
    <mergeCell ref="H25:R25"/>
    <mergeCell ref="H23:R23"/>
    <mergeCell ref="Q39:R39"/>
    <mergeCell ref="Q36:R36"/>
    <mergeCell ref="E37:O37"/>
    <mergeCell ref="Q37:R37"/>
    <mergeCell ref="E38:O38"/>
    <mergeCell ref="Q38:R38"/>
    <mergeCell ref="E36:O36"/>
  </mergeCells>
  <pageMargins left="0.17" right="0.24" top="0.68" bottom="0.17" header="0.4" footer="0.3"/>
  <pageSetup paperSize="9" scale="91" fitToHeight="0"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FA404-8E39-4983-BC2A-8690E733306F}">
  <sheetPr>
    <pageSetUpPr fitToPage="1"/>
  </sheetPr>
  <dimension ref="A1:ID94"/>
  <sheetViews>
    <sheetView topLeftCell="A37" workbookViewId="0">
      <selection activeCell="D16" sqref="D10:D16"/>
    </sheetView>
  </sheetViews>
  <sheetFormatPr defaultColWidth="26.85546875" defaultRowHeight="14.25"/>
  <cols>
    <col min="1" max="1" width="9.28515625" style="372" customWidth="1"/>
    <col min="2" max="2" width="51.5703125" style="372" customWidth="1"/>
    <col min="3" max="3" width="22.28515625" style="372" customWidth="1"/>
    <col min="4" max="4" width="23.28515625" style="379" customWidth="1"/>
    <col min="5" max="5" width="16.140625" style="372" bestFit="1" customWidth="1"/>
    <col min="6" max="232" width="9.140625" style="372" customWidth="1"/>
    <col min="233" max="233" width="10.5703125" style="372" customWidth="1"/>
    <col min="234" max="234" width="45.85546875" style="372" bestFit="1" customWidth="1"/>
    <col min="235" max="235" width="25.28515625" style="372" customWidth="1"/>
    <col min="236" max="236" width="26" style="372" customWidth="1"/>
    <col min="237" max="237" width="22.85546875" style="372" customWidth="1"/>
    <col min="238" max="245" width="26.85546875" style="372"/>
    <col min="246" max="246" width="10.5703125" style="372" customWidth="1"/>
    <col min="247" max="247" width="54" style="372" customWidth="1"/>
    <col min="248" max="248" width="25.42578125" style="372" customWidth="1"/>
    <col min="249" max="249" width="28.42578125" style="372" customWidth="1"/>
    <col min="250" max="250" width="9.140625" style="372" customWidth="1"/>
    <col min="251" max="251" width="16" style="372" customWidth="1"/>
    <col min="252" max="253" width="12.7109375" style="372" bestFit="1" customWidth="1"/>
    <col min="254" max="488" width="9.140625" style="372" customWidth="1"/>
    <col min="489" max="489" width="10.5703125" style="372" customWidth="1"/>
    <col min="490" max="490" width="45.85546875" style="372" bestFit="1" customWidth="1"/>
    <col min="491" max="491" width="25.28515625" style="372" customWidth="1"/>
    <col min="492" max="492" width="26" style="372" customWidth="1"/>
    <col min="493" max="493" width="22.85546875" style="372" customWidth="1"/>
    <col min="494" max="501" width="26.85546875" style="372"/>
    <col min="502" max="502" width="10.5703125" style="372" customWidth="1"/>
    <col min="503" max="503" width="54" style="372" customWidth="1"/>
    <col min="504" max="504" width="25.42578125" style="372" customWidth="1"/>
    <col min="505" max="505" width="28.42578125" style="372" customWidth="1"/>
    <col min="506" max="506" width="9.140625" style="372" customWidth="1"/>
    <col min="507" max="507" width="16" style="372" customWidth="1"/>
    <col min="508" max="509" width="12.7109375" style="372" bestFit="1" customWidth="1"/>
    <col min="510" max="744" width="9.140625" style="372" customWidth="1"/>
    <col min="745" max="745" width="10.5703125" style="372" customWidth="1"/>
    <col min="746" max="746" width="45.85546875" style="372" bestFit="1" customWidth="1"/>
    <col min="747" max="747" width="25.28515625" style="372" customWidth="1"/>
    <col min="748" max="748" width="26" style="372" customWidth="1"/>
    <col min="749" max="749" width="22.85546875" style="372" customWidth="1"/>
    <col min="750" max="757" width="26.85546875" style="372"/>
    <col min="758" max="758" width="10.5703125" style="372" customWidth="1"/>
    <col min="759" max="759" width="54" style="372" customWidth="1"/>
    <col min="760" max="760" width="25.42578125" style="372" customWidth="1"/>
    <col min="761" max="761" width="28.42578125" style="372" customWidth="1"/>
    <col min="762" max="762" width="9.140625" style="372" customWidth="1"/>
    <col min="763" max="763" width="16" style="372" customWidth="1"/>
    <col min="764" max="765" width="12.7109375" style="372" bestFit="1" customWidth="1"/>
    <col min="766" max="1000" width="9.140625" style="372" customWidth="1"/>
    <col min="1001" max="1001" width="10.5703125" style="372" customWidth="1"/>
    <col min="1002" max="1002" width="45.85546875" style="372" bestFit="1" customWidth="1"/>
    <col min="1003" max="1003" width="25.28515625" style="372" customWidth="1"/>
    <col min="1004" max="1004" width="26" style="372" customWidth="1"/>
    <col min="1005" max="1005" width="22.85546875" style="372" customWidth="1"/>
    <col min="1006" max="1013" width="26.85546875" style="372"/>
    <col min="1014" max="1014" width="10.5703125" style="372" customWidth="1"/>
    <col min="1015" max="1015" width="54" style="372" customWidth="1"/>
    <col min="1016" max="1016" width="25.42578125" style="372" customWidth="1"/>
    <col min="1017" max="1017" width="28.42578125" style="372" customWidth="1"/>
    <col min="1018" max="1018" width="9.140625" style="372" customWidth="1"/>
    <col min="1019" max="1019" width="16" style="372" customWidth="1"/>
    <col min="1020" max="1021" width="12.7109375" style="372" bestFit="1" customWidth="1"/>
    <col min="1022" max="1256" width="9.140625" style="372" customWidth="1"/>
    <col min="1257" max="1257" width="10.5703125" style="372" customWidth="1"/>
    <col min="1258" max="1258" width="45.85546875" style="372" bestFit="1" customWidth="1"/>
    <col min="1259" max="1259" width="25.28515625" style="372" customWidth="1"/>
    <col min="1260" max="1260" width="26" style="372" customWidth="1"/>
    <col min="1261" max="1261" width="22.85546875" style="372" customWidth="1"/>
    <col min="1262" max="1269" width="26.85546875" style="372"/>
    <col min="1270" max="1270" width="10.5703125" style="372" customWidth="1"/>
    <col min="1271" max="1271" width="54" style="372" customWidth="1"/>
    <col min="1272" max="1272" width="25.42578125" style="372" customWidth="1"/>
    <col min="1273" max="1273" width="28.42578125" style="372" customWidth="1"/>
    <col min="1274" max="1274" width="9.140625" style="372" customWidth="1"/>
    <col min="1275" max="1275" width="16" style="372" customWidth="1"/>
    <col min="1276" max="1277" width="12.7109375" style="372" bestFit="1" customWidth="1"/>
    <col min="1278" max="1512" width="9.140625" style="372" customWidth="1"/>
    <col min="1513" max="1513" width="10.5703125" style="372" customWidth="1"/>
    <col min="1514" max="1514" width="45.85546875" style="372" bestFit="1" customWidth="1"/>
    <col min="1515" max="1515" width="25.28515625" style="372" customWidth="1"/>
    <col min="1516" max="1516" width="26" style="372" customWidth="1"/>
    <col min="1517" max="1517" width="22.85546875" style="372" customWidth="1"/>
    <col min="1518" max="1525" width="26.85546875" style="372"/>
    <col min="1526" max="1526" width="10.5703125" style="372" customWidth="1"/>
    <col min="1527" max="1527" width="54" style="372" customWidth="1"/>
    <col min="1528" max="1528" width="25.42578125" style="372" customWidth="1"/>
    <col min="1529" max="1529" width="28.42578125" style="372" customWidth="1"/>
    <col min="1530" max="1530" width="9.140625" style="372" customWidth="1"/>
    <col min="1531" max="1531" width="16" style="372" customWidth="1"/>
    <col min="1532" max="1533" width="12.7109375" style="372" bestFit="1" customWidth="1"/>
    <col min="1534" max="1768" width="9.140625" style="372" customWidth="1"/>
    <col min="1769" max="1769" width="10.5703125" style="372" customWidth="1"/>
    <col min="1770" max="1770" width="45.85546875" style="372" bestFit="1" customWidth="1"/>
    <col min="1771" max="1771" width="25.28515625" style="372" customWidth="1"/>
    <col min="1772" max="1772" width="26" style="372" customWidth="1"/>
    <col min="1773" max="1773" width="22.85546875" style="372" customWidth="1"/>
    <col min="1774" max="1781" width="26.85546875" style="372"/>
    <col min="1782" max="1782" width="10.5703125" style="372" customWidth="1"/>
    <col min="1783" max="1783" width="54" style="372" customWidth="1"/>
    <col min="1784" max="1784" width="25.42578125" style="372" customWidth="1"/>
    <col min="1785" max="1785" width="28.42578125" style="372" customWidth="1"/>
    <col min="1786" max="1786" width="9.140625" style="372" customWidth="1"/>
    <col min="1787" max="1787" width="16" style="372" customWidth="1"/>
    <col min="1788" max="1789" width="12.7109375" style="372" bestFit="1" customWidth="1"/>
    <col min="1790" max="2024" width="9.140625" style="372" customWidth="1"/>
    <col min="2025" max="2025" width="10.5703125" style="372" customWidth="1"/>
    <col min="2026" max="2026" width="45.85546875" style="372" bestFit="1" customWidth="1"/>
    <col min="2027" max="2027" width="25.28515625" style="372" customWidth="1"/>
    <col min="2028" max="2028" width="26" style="372" customWidth="1"/>
    <col min="2029" max="2029" width="22.85546875" style="372" customWidth="1"/>
    <col min="2030" max="2037" width="26.85546875" style="372"/>
    <col min="2038" max="2038" width="10.5703125" style="372" customWidth="1"/>
    <col min="2039" max="2039" width="54" style="372" customWidth="1"/>
    <col min="2040" max="2040" width="25.42578125" style="372" customWidth="1"/>
    <col min="2041" max="2041" width="28.42578125" style="372" customWidth="1"/>
    <col min="2042" max="2042" width="9.140625" style="372" customWidth="1"/>
    <col min="2043" max="2043" width="16" style="372" customWidth="1"/>
    <col min="2044" max="2045" width="12.7109375" style="372" bestFit="1" customWidth="1"/>
    <col min="2046" max="2280" width="9.140625" style="372" customWidth="1"/>
    <col min="2281" max="2281" width="10.5703125" style="372" customWidth="1"/>
    <col min="2282" max="2282" width="45.85546875" style="372" bestFit="1" customWidth="1"/>
    <col min="2283" max="2283" width="25.28515625" style="372" customWidth="1"/>
    <col min="2284" max="2284" width="26" style="372" customWidth="1"/>
    <col min="2285" max="2285" width="22.85546875" style="372" customWidth="1"/>
    <col min="2286" max="2293" width="26.85546875" style="372"/>
    <col min="2294" max="2294" width="10.5703125" style="372" customWidth="1"/>
    <col min="2295" max="2295" width="54" style="372" customWidth="1"/>
    <col min="2296" max="2296" width="25.42578125" style="372" customWidth="1"/>
    <col min="2297" max="2297" width="28.42578125" style="372" customWidth="1"/>
    <col min="2298" max="2298" width="9.140625" style="372" customWidth="1"/>
    <col min="2299" max="2299" width="16" style="372" customWidth="1"/>
    <col min="2300" max="2301" width="12.7109375" style="372" bestFit="1" customWidth="1"/>
    <col min="2302" max="2536" width="9.140625" style="372" customWidth="1"/>
    <col min="2537" max="2537" width="10.5703125" style="372" customWidth="1"/>
    <col min="2538" max="2538" width="45.85546875" style="372" bestFit="1" customWidth="1"/>
    <col min="2539" max="2539" width="25.28515625" style="372" customWidth="1"/>
    <col min="2540" max="2540" width="26" style="372" customWidth="1"/>
    <col min="2541" max="2541" width="22.85546875" style="372" customWidth="1"/>
    <col min="2542" max="2549" width="26.85546875" style="372"/>
    <col min="2550" max="2550" width="10.5703125" style="372" customWidth="1"/>
    <col min="2551" max="2551" width="54" style="372" customWidth="1"/>
    <col min="2552" max="2552" width="25.42578125" style="372" customWidth="1"/>
    <col min="2553" max="2553" width="28.42578125" style="372" customWidth="1"/>
    <col min="2554" max="2554" width="9.140625" style="372" customWidth="1"/>
    <col min="2555" max="2555" width="16" style="372" customWidth="1"/>
    <col min="2556" max="2557" width="12.7109375" style="372" bestFit="1" customWidth="1"/>
    <col min="2558" max="2792" width="9.140625" style="372" customWidth="1"/>
    <col min="2793" max="2793" width="10.5703125" style="372" customWidth="1"/>
    <col min="2794" max="2794" width="45.85546875" style="372" bestFit="1" customWidth="1"/>
    <col min="2795" max="2795" width="25.28515625" style="372" customWidth="1"/>
    <col min="2796" max="2796" width="26" style="372" customWidth="1"/>
    <col min="2797" max="2797" width="22.85546875" style="372" customWidth="1"/>
    <col min="2798" max="2805" width="26.85546875" style="372"/>
    <col min="2806" max="2806" width="10.5703125" style="372" customWidth="1"/>
    <col min="2807" max="2807" width="54" style="372" customWidth="1"/>
    <col min="2808" max="2808" width="25.42578125" style="372" customWidth="1"/>
    <col min="2809" max="2809" width="28.42578125" style="372" customWidth="1"/>
    <col min="2810" max="2810" width="9.140625" style="372" customWidth="1"/>
    <col min="2811" max="2811" width="16" style="372" customWidth="1"/>
    <col min="2812" max="2813" width="12.7109375" style="372" bestFit="1" customWidth="1"/>
    <col min="2814" max="3048" width="9.140625" style="372" customWidth="1"/>
    <col min="3049" max="3049" width="10.5703125" style="372" customWidth="1"/>
    <col min="3050" max="3050" width="45.85546875" style="372" bestFit="1" customWidth="1"/>
    <col min="3051" max="3051" width="25.28515625" style="372" customWidth="1"/>
    <col min="3052" max="3052" width="26" style="372" customWidth="1"/>
    <col min="3053" max="3053" width="22.85546875" style="372" customWidth="1"/>
    <col min="3054" max="3061" width="26.85546875" style="372"/>
    <col min="3062" max="3062" width="10.5703125" style="372" customWidth="1"/>
    <col min="3063" max="3063" width="54" style="372" customWidth="1"/>
    <col min="3064" max="3064" width="25.42578125" style="372" customWidth="1"/>
    <col min="3065" max="3065" width="28.42578125" style="372" customWidth="1"/>
    <col min="3066" max="3066" width="9.140625" style="372" customWidth="1"/>
    <col min="3067" max="3067" width="16" style="372" customWidth="1"/>
    <col min="3068" max="3069" width="12.7109375" style="372" bestFit="1" customWidth="1"/>
    <col min="3070" max="3304" width="9.140625" style="372" customWidth="1"/>
    <col min="3305" max="3305" width="10.5703125" style="372" customWidth="1"/>
    <col min="3306" max="3306" width="45.85546875" style="372" bestFit="1" customWidth="1"/>
    <col min="3307" max="3307" width="25.28515625" style="372" customWidth="1"/>
    <col min="3308" max="3308" width="26" style="372" customWidth="1"/>
    <col min="3309" max="3309" width="22.85546875" style="372" customWidth="1"/>
    <col min="3310" max="3317" width="26.85546875" style="372"/>
    <col min="3318" max="3318" width="10.5703125" style="372" customWidth="1"/>
    <col min="3319" max="3319" width="54" style="372" customWidth="1"/>
    <col min="3320" max="3320" width="25.42578125" style="372" customWidth="1"/>
    <col min="3321" max="3321" width="28.42578125" style="372" customWidth="1"/>
    <col min="3322" max="3322" width="9.140625" style="372" customWidth="1"/>
    <col min="3323" max="3323" width="16" style="372" customWidth="1"/>
    <col min="3324" max="3325" width="12.7109375" style="372" bestFit="1" customWidth="1"/>
    <col min="3326" max="3560" width="9.140625" style="372" customWidth="1"/>
    <col min="3561" max="3561" width="10.5703125" style="372" customWidth="1"/>
    <col min="3562" max="3562" width="45.85546875" style="372" bestFit="1" customWidth="1"/>
    <col min="3563" max="3563" width="25.28515625" style="372" customWidth="1"/>
    <col min="3564" max="3564" width="26" style="372" customWidth="1"/>
    <col min="3565" max="3565" width="22.85546875" style="372" customWidth="1"/>
    <col min="3566" max="3573" width="26.85546875" style="372"/>
    <col min="3574" max="3574" width="10.5703125" style="372" customWidth="1"/>
    <col min="3575" max="3575" width="54" style="372" customWidth="1"/>
    <col min="3576" max="3576" width="25.42578125" style="372" customWidth="1"/>
    <col min="3577" max="3577" width="28.42578125" style="372" customWidth="1"/>
    <col min="3578" max="3578" width="9.140625" style="372" customWidth="1"/>
    <col min="3579" max="3579" width="16" style="372" customWidth="1"/>
    <col min="3580" max="3581" width="12.7109375" style="372" bestFit="1" customWidth="1"/>
    <col min="3582" max="3816" width="9.140625" style="372" customWidth="1"/>
    <col min="3817" max="3817" width="10.5703125" style="372" customWidth="1"/>
    <col min="3818" max="3818" width="45.85546875" style="372" bestFit="1" customWidth="1"/>
    <col min="3819" max="3819" width="25.28515625" style="372" customWidth="1"/>
    <col min="3820" max="3820" width="26" style="372" customWidth="1"/>
    <col min="3821" max="3821" width="22.85546875" style="372" customWidth="1"/>
    <col min="3822" max="3829" width="26.85546875" style="372"/>
    <col min="3830" max="3830" width="10.5703125" style="372" customWidth="1"/>
    <col min="3831" max="3831" width="54" style="372" customWidth="1"/>
    <col min="3832" max="3832" width="25.42578125" style="372" customWidth="1"/>
    <col min="3833" max="3833" width="28.42578125" style="372" customWidth="1"/>
    <col min="3834" max="3834" width="9.140625" style="372" customWidth="1"/>
    <col min="3835" max="3835" width="16" style="372" customWidth="1"/>
    <col min="3836" max="3837" width="12.7109375" style="372" bestFit="1" customWidth="1"/>
    <col min="3838" max="4072" width="9.140625" style="372" customWidth="1"/>
    <col min="4073" max="4073" width="10.5703125" style="372" customWidth="1"/>
    <col min="4074" max="4074" width="45.85546875" style="372" bestFit="1" customWidth="1"/>
    <col min="4075" max="4075" width="25.28515625" style="372" customWidth="1"/>
    <col min="4076" max="4076" width="26" style="372" customWidth="1"/>
    <col min="4077" max="4077" width="22.85546875" style="372" customWidth="1"/>
    <col min="4078" max="4085" width="26.85546875" style="372"/>
    <col min="4086" max="4086" width="10.5703125" style="372" customWidth="1"/>
    <col min="4087" max="4087" width="54" style="372" customWidth="1"/>
    <col min="4088" max="4088" width="25.42578125" style="372" customWidth="1"/>
    <col min="4089" max="4089" width="28.42578125" style="372" customWidth="1"/>
    <col min="4090" max="4090" width="9.140625" style="372" customWidth="1"/>
    <col min="4091" max="4091" width="16" style="372" customWidth="1"/>
    <col min="4092" max="4093" width="12.7109375" style="372" bestFit="1" customWidth="1"/>
    <col min="4094" max="4328" width="9.140625" style="372" customWidth="1"/>
    <col min="4329" max="4329" width="10.5703125" style="372" customWidth="1"/>
    <col min="4330" max="4330" width="45.85546875" style="372" bestFit="1" customWidth="1"/>
    <col min="4331" max="4331" width="25.28515625" style="372" customWidth="1"/>
    <col min="4332" max="4332" width="26" style="372" customWidth="1"/>
    <col min="4333" max="4333" width="22.85546875" style="372" customWidth="1"/>
    <col min="4334" max="4341" width="26.85546875" style="372"/>
    <col min="4342" max="4342" width="10.5703125" style="372" customWidth="1"/>
    <col min="4343" max="4343" width="54" style="372" customWidth="1"/>
    <col min="4344" max="4344" width="25.42578125" style="372" customWidth="1"/>
    <col min="4345" max="4345" width="28.42578125" style="372" customWidth="1"/>
    <col min="4346" max="4346" width="9.140625" style="372" customWidth="1"/>
    <col min="4347" max="4347" width="16" style="372" customWidth="1"/>
    <col min="4348" max="4349" width="12.7109375" style="372" bestFit="1" customWidth="1"/>
    <col min="4350" max="4584" width="9.140625" style="372" customWidth="1"/>
    <col min="4585" max="4585" width="10.5703125" style="372" customWidth="1"/>
    <col min="4586" max="4586" width="45.85546875" style="372" bestFit="1" customWidth="1"/>
    <col min="4587" max="4587" width="25.28515625" style="372" customWidth="1"/>
    <col min="4588" max="4588" width="26" style="372" customWidth="1"/>
    <col min="4589" max="4589" width="22.85546875" style="372" customWidth="1"/>
    <col min="4590" max="4597" width="26.85546875" style="372"/>
    <col min="4598" max="4598" width="10.5703125" style="372" customWidth="1"/>
    <col min="4599" max="4599" width="54" style="372" customWidth="1"/>
    <col min="4600" max="4600" width="25.42578125" style="372" customWidth="1"/>
    <col min="4601" max="4601" width="28.42578125" style="372" customWidth="1"/>
    <col min="4602" max="4602" width="9.140625" style="372" customWidth="1"/>
    <col min="4603" max="4603" width="16" style="372" customWidth="1"/>
    <col min="4604" max="4605" width="12.7109375" style="372" bestFit="1" customWidth="1"/>
    <col min="4606" max="4840" width="9.140625" style="372" customWidth="1"/>
    <col min="4841" max="4841" width="10.5703125" style="372" customWidth="1"/>
    <col min="4842" max="4842" width="45.85546875" style="372" bestFit="1" customWidth="1"/>
    <col min="4843" max="4843" width="25.28515625" style="372" customWidth="1"/>
    <col min="4844" max="4844" width="26" style="372" customWidth="1"/>
    <col min="4845" max="4845" width="22.85546875" style="372" customWidth="1"/>
    <col min="4846" max="4853" width="26.85546875" style="372"/>
    <col min="4854" max="4854" width="10.5703125" style="372" customWidth="1"/>
    <col min="4855" max="4855" width="54" style="372" customWidth="1"/>
    <col min="4856" max="4856" width="25.42578125" style="372" customWidth="1"/>
    <col min="4857" max="4857" width="28.42578125" style="372" customWidth="1"/>
    <col min="4858" max="4858" width="9.140625" style="372" customWidth="1"/>
    <col min="4859" max="4859" width="16" style="372" customWidth="1"/>
    <col min="4860" max="4861" width="12.7109375" style="372" bestFit="1" customWidth="1"/>
    <col min="4862" max="5096" width="9.140625" style="372" customWidth="1"/>
    <col min="5097" max="5097" width="10.5703125" style="372" customWidth="1"/>
    <col min="5098" max="5098" width="45.85546875" style="372" bestFit="1" customWidth="1"/>
    <col min="5099" max="5099" width="25.28515625" style="372" customWidth="1"/>
    <col min="5100" max="5100" width="26" style="372" customWidth="1"/>
    <col min="5101" max="5101" width="22.85546875" style="372" customWidth="1"/>
    <col min="5102" max="5109" width="26.85546875" style="372"/>
    <col min="5110" max="5110" width="10.5703125" style="372" customWidth="1"/>
    <col min="5111" max="5111" width="54" style="372" customWidth="1"/>
    <col min="5112" max="5112" width="25.42578125" style="372" customWidth="1"/>
    <col min="5113" max="5113" width="28.42578125" style="372" customWidth="1"/>
    <col min="5114" max="5114" width="9.140625" style="372" customWidth="1"/>
    <col min="5115" max="5115" width="16" style="372" customWidth="1"/>
    <col min="5116" max="5117" width="12.7109375" style="372" bestFit="1" customWidth="1"/>
    <col min="5118" max="5352" width="9.140625" style="372" customWidth="1"/>
    <col min="5353" max="5353" width="10.5703125" style="372" customWidth="1"/>
    <col min="5354" max="5354" width="45.85546875" style="372" bestFit="1" customWidth="1"/>
    <col min="5355" max="5355" width="25.28515625" style="372" customWidth="1"/>
    <col min="5356" max="5356" width="26" style="372" customWidth="1"/>
    <col min="5357" max="5357" width="22.85546875" style="372" customWidth="1"/>
    <col min="5358" max="5365" width="26.85546875" style="372"/>
    <col min="5366" max="5366" width="10.5703125" style="372" customWidth="1"/>
    <col min="5367" max="5367" width="54" style="372" customWidth="1"/>
    <col min="5368" max="5368" width="25.42578125" style="372" customWidth="1"/>
    <col min="5369" max="5369" width="28.42578125" style="372" customWidth="1"/>
    <col min="5370" max="5370" width="9.140625" style="372" customWidth="1"/>
    <col min="5371" max="5371" width="16" style="372" customWidth="1"/>
    <col min="5372" max="5373" width="12.7109375" style="372" bestFit="1" customWidth="1"/>
    <col min="5374" max="5608" width="9.140625" style="372" customWidth="1"/>
    <col min="5609" max="5609" width="10.5703125" style="372" customWidth="1"/>
    <col min="5610" max="5610" width="45.85546875" style="372" bestFit="1" customWidth="1"/>
    <col min="5611" max="5611" width="25.28515625" style="372" customWidth="1"/>
    <col min="5612" max="5612" width="26" style="372" customWidth="1"/>
    <col min="5613" max="5613" width="22.85546875" style="372" customWidth="1"/>
    <col min="5614" max="5621" width="26.85546875" style="372"/>
    <col min="5622" max="5622" width="10.5703125" style="372" customWidth="1"/>
    <col min="5623" max="5623" width="54" style="372" customWidth="1"/>
    <col min="5624" max="5624" width="25.42578125" style="372" customWidth="1"/>
    <col min="5625" max="5625" width="28.42578125" style="372" customWidth="1"/>
    <col min="5626" max="5626" width="9.140625" style="372" customWidth="1"/>
    <col min="5627" max="5627" width="16" style="372" customWidth="1"/>
    <col min="5628" max="5629" width="12.7109375" style="372" bestFit="1" customWidth="1"/>
    <col min="5630" max="5864" width="9.140625" style="372" customWidth="1"/>
    <col min="5865" max="5865" width="10.5703125" style="372" customWidth="1"/>
    <col min="5866" max="5866" width="45.85546875" style="372" bestFit="1" customWidth="1"/>
    <col min="5867" max="5867" width="25.28515625" style="372" customWidth="1"/>
    <col min="5868" max="5868" width="26" style="372" customWidth="1"/>
    <col min="5869" max="5869" width="22.85546875" style="372" customWidth="1"/>
    <col min="5870" max="5877" width="26.85546875" style="372"/>
    <col min="5878" max="5878" width="10.5703125" style="372" customWidth="1"/>
    <col min="5879" max="5879" width="54" style="372" customWidth="1"/>
    <col min="5880" max="5880" width="25.42578125" style="372" customWidth="1"/>
    <col min="5881" max="5881" width="28.42578125" style="372" customWidth="1"/>
    <col min="5882" max="5882" width="9.140625" style="372" customWidth="1"/>
    <col min="5883" max="5883" width="16" style="372" customWidth="1"/>
    <col min="5884" max="5885" width="12.7109375" style="372" bestFit="1" customWidth="1"/>
    <col min="5886" max="6120" width="9.140625" style="372" customWidth="1"/>
    <col min="6121" max="6121" width="10.5703125" style="372" customWidth="1"/>
    <col min="6122" max="6122" width="45.85546875" style="372" bestFit="1" customWidth="1"/>
    <col min="6123" max="6123" width="25.28515625" style="372" customWidth="1"/>
    <col min="6124" max="6124" width="26" style="372" customWidth="1"/>
    <col min="6125" max="6125" width="22.85546875" style="372" customWidth="1"/>
    <col min="6126" max="6133" width="26.85546875" style="372"/>
    <col min="6134" max="6134" width="10.5703125" style="372" customWidth="1"/>
    <col min="6135" max="6135" width="54" style="372" customWidth="1"/>
    <col min="6136" max="6136" width="25.42578125" style="372" customWidth="1"/>
    <col min="6137" max="6137" width="28.42578125" style="372" customWidth="1"/>
    <col min="6138" max="6138" width="9.140625" style="372" customWidth="1"/>
    <col min="6139" max="6139" width="16" style="372" customWidth="1"/>
    <col min="6140" max="6141" width="12.7109375" style="372" bestFit="1" customWidth="1"/>
    <col min="6142" max="6376" width="9.140625" style="372" customWidth="1"/>
    <col min="6377" max="6377" width="10.5703125" style="372" customWidth="1"/>
    <col min="6378" max="6378" width="45.85546875" style="372" bestFit="1" customWidth="1"/>
    <col min="6379" max="6379" width="25.28515625" style="372" customWidth="1"/>
    <col min="6380" max="6380" width="26" style="372" customWidth="1"/>
    <col min="6381" max="6381" width="22.85546875" style="372" customWidth="1"/>
    <col min="6382" max="6389" width="26.85546875" style="372"/>
    <col min="6390" max="6390" width="10.5703125" style="372" customWidth="1"/>
    <col min="6391" max="6391" width="54" style="372" customWidth="1"/>
    <col min="6392" max="6392" width="25.42578125" style="372" customWidth="1"/>
    <col min="6393" max="6393" width="28.42578125" style="372" customWidth="1"/>
    <col min="6394" max="6394" width="9.140625" style="372" customWidth="1"/>
    <col min="6395" max="6395" width="16" style="372" customWidth="1"/>
    <col min="6396" max="6397" width="12.7109375" style="372" bestFit="1" customWidth="1"/>
    <col min="6398" max="6632" width="9.140625" style="372" customWidth="1"/>
    <col min="6633" max="6633" width="10.5703125" style="372" customWidth="1"/>
    <col min="6634" max="6634" width="45.85546875" style="372" bestFit="1" customWidth="1"/>
    <col min="6635" max="6635" width="25.28515625" style="372" customWidth="1"/>
    <col min="6636" max="6636" width="26" style="372" customWidth="1"/>
    <col min="6637" max="6637" width="22.85546875" style="372" customWidth="1"/>
    <col min="6638" max="6645" width="26.85546875" style="372"/>
    <col min="6646" max="6646" width="10.5703125" style="372" customWidth="1"/>
    <col min="6647" max="6647" width="54" style="372" customWidth="1"/>
    <col min="6648" max="6648" width="25.42578125" style="372" customWidth="1"/>
    <col min="6649" max="6649" width="28.42578125" style="372" customWidth="1"/>
    <col min="6650" max="6650" width="9.140625" style="372" customWidth="1"/>
    <col min="6651" max="6651" width="16" style="372" customWidth="1"/>
    <col min="6652" max="6653" width="12.7109375" style="372" bestFit="1" customWidth="1"/>
    <col min="6654" max="6888" width="9.140625" style="372" customWidth="1"/>
    <col min="6889" max="6889" width="10.5703125" style="372" customWidth="1"/>
    <col min="6890" max="6890" width="45.85546875" style="372" bestFit="1" customWidth="1"/>
    <col min="6891" max="6891" width="25.28515625" style="372" customWidth="1"/>
    <col min="6892" max="6892" width="26" style="372" customWidth="1"/>
    <col min="6893" max="6893" width="22.85546875" style="372" customWidth="1"/>
    <col min="6894" max="6901" width="26.85546875" style="372"/>
    <col min="6902" max="6902" width="10.5703125" style="372" customWidth="1"/>
    <col min="6903" max="6903" width="54" style="372" customWidth="1"/>
    <col min="6904" max="6904" width="25.42578125" style="372" customWidth="1"/>
    <col min="6905" max="6905" width="28.42578125" style="372" customWidth="1"/>
    <col min="6906" max="6906" width="9.140625" style="372" customWidth="1"/>
    <col min="6907" max="6907" width="16" style="372" customWidth="1"/>
    <col min="6908" max="6909" width="12.7109375" style="372" bestFit="1" customWidth="1"/>
    <col min="6910" max="7144" width="9.140625" style="372" customWidth="1"/>
    <col min="7145" max="7145" width="10.5703125" style="372" customWidth="1"/>
    <col min="7146" max="7146" width="45.85546875" style="372" bestFit="1" customWidth="1"/>
    <col min="7147" max="7147" width="25.28515625" style="372" customWidth="1"/>
    <col min="7148" max="7148" width="26" style="372" customWidth="1"/>
    <col min="7149" max="7149" width="22.85546875" style="372" customWidth="1"/>
    <col min="7150" max="7157" width="26.85546875" style="372"/>
    <col min="7158" max="7158" width="10.5703125" style="372" customWidth="1"/>
    <col min="7159" max="7159" width="54" style="372" customWidth="1"/>
    <col min="7160" max="7160" width="25.42578125" style="372" customWidth="1"/>
    <col min="7161" max="7161" width="28.42578125" style="372" customWidth="1"/>
    <col min="7162" max="7162" width="9.140625" style="372" customWidth="1"/>
    <col min="7163" max="7163" width="16" style="372" customWidth="1"/>
    <col min="7164" max="7165" width="12.7109375" style="372" bestFit="1" customWidth="1"/>
    <col min="7166" max="7400" width="9.140625" style="372" customWidth="1"/>
    <col min="7401" max="7401" width="10.5703125" style="372" customWidth="1"/>
    <col min="7402" max="7402" width="45.85546875" style="372" bestFit="1" customWidth="1"/>
    <col min="7403" max="7403" width="25.28515625" style="372" customWidth="1"/>
    <col min="7404" max="7404" width="26" style="372" customWidth="1"/>
    <col min="7405" max="7405" width="22.85546875" style="372" customWidth="1"/>
    <col min="7406" max="7413" width="26.85546875" style="372"/>
    <col min="7414" max="7414" width="10.5703125" style="372" customWidth="1"/>
    <col min="7415" max="7415" width="54" style="372" customWidth="1"/>
    <col min="7416" max="7416" width="25.42578125" style="372" customWidth="1"/>
    <col min="7417" max="7417" width="28.42578125" style="372" customWidth="1"/>
    <col min="7418" max="7418" width="9.140625" style="372" customWidth="1"/>
    <col min="7419" max="7419" width="16" style="372" customWidth="1"/>
    <col min="7420" max="7421" width="12.7109375" style="372" bestFit="1" customWidth="1"/>
    <col min="7422" max="7656" width="9.140625" style="372" customWidth="1"/>
    <col min="7657" max="7657" width="10.5703125" style="372" customWidth="1"/>
    <col min="7658" max="7658" width="45.85546875" style="372" bestFit="1" customWidth="1"/>
    <col min="7659" max="7659" width="25.28515625" style="372" customWidth="1"/>
    <col min="7660" max="7660" width="26" style="372" customWidth="1"/>
    <col min="7661" max="7661" width="22.85546875" style="372" customWidth="1"/>
    <col min="7662" max="7669" width="26.85546875" style="372"/>
    <col min="7670" max="7670" width="10.5703125" style="372" customWidth="1"/>
    <col min="7671" max="7671" width="54" style="372" customWidth="1"/>
    <col min="7672" max="7672" width="25.42578125" style="372" customWidth="1"/>
    <col min="7673" max="7673" width="28.42578125" style="372" customWidth="1"/>
    <col min="7674" max="7674" width="9.140625" style="372" customWidth="1"/>
    <col min="7675" max="7675" width="16" style="372" customWidth="1"/>
    <col min="7676" max="7677" width="12.7109375" style="372" bestFit="1" customWidth="1"/>
    <col min="7678" max="7912" width="9.140625" style="372" customWidth="1"/>
    <col min="7913" max="7913" width="10.5703125" style="372" customWidth="1"/>
    <col min="7914" max="7914" width="45.85546875" style="372" bestFit="1" customWidth="1"/>
    <col min="7915" max="7915" width="25.28515625" style="372" customWidth="1"/>
    <col min="7916" max="7916" width="26" style="372" customWidth="1"/>
    <col min="7917" max="7917" width="22.85546875" style="372" customWidth="1"/>
    <col min="7918" max="7925" width="26.85546875" style="372"/>
    <col min="7926" max="7926" width="10.5703125" style="372" customWidth="1"/>
    <col min="7927" max="7927" width="54" style="372" customWidth="1"/>
    <col min="7928" max="7928" width="25.42578125" style="372" customWidth="1"/>
    <col min="7929" max="7929" width="28.42578125" style="372" customWidth="1"/>
    <col min="7930" max="7930" width="9.140625" style="372" customWidth="1"/>
    <col min="7931" max="7931" width="16" style="372" customWidth="1"/>
    <col min="7932" max="7933" width="12.7109375" style="372" bestFit="1" customWidth="1"/>
    <col min="7934" max="8168" width="9.140625" style="372" customWidth="1"/>
    <col min="8169" max="8169" width="10.5703125" style="372" customWidth="1"/>
    <col min="8170" max="8170" width="45.85546875" style="372" bestFit="1" customWidth="1"/>
    <col min="8171" max="8171" width="25.28515625" style="372" customWidth="1"/>
    <col min="8172" max="8172" width="26" style="372" customWidth="1"/>
    <col min="8173" max="8173" width="22.85546875" style="372" customWidth="1"/>
    <col min="8174" max="8181" width="26.85546875" style="372"/>
    <col min="8182" max="8182" width="10.5703125" style="372" customWidth="1"/>
    <col min="8183" max="8183" width="54" style="372" customWidth="1"/>
    <col min="8184" max="8184" width="25.42578125" style="372" customWidth="1"/>
    <col min="8185" max="8185" width="28.42578125" style="372" customWidth="1"/>
    <col min="8186" max="8186" width="9.140625" style="372" customWidth="1"/>
    <col min="8187" max="8187" width="16" style="372" customWidth="1"/>
    <col min="8188" max="8189" width="12.7109375" style="372" bestFit="1" customWidth="1"/>
    <col min="8190" max="8424" width="9.140625" style="372" customWidth="1"/>
    <col min="8425" max="8425" width="10.5703125" style="372" customWidth="1"/>
    <col min="8426" max="8426" width="45.85546875" style="372" bestFit="1" customWidth="1"/>
    <col min="8427" max="8427" width="25.28515625" style="372" customWidth="1"/>
    <col min="8428" max="8428" width="26" style="372" customWidth="1"/>
    <col min="8429" max="8429" width="22.85546875" style="372" customWidth="1"/>
    <col min="8430" max="8437" width="26.85546875" style="372"/>
    <col min="8438" max="8438" width="10.5703125" style="372" customWidth="1"/>
    <col min="8439" max="8439" width="54" style="372" customWidth="1"/>
    <col min="8440" max="8440" width="25.42578125" style="372" customWidth="1"/>
    <col min="8441" max="8441" width="28.42578125" style="372" customWidth="1"/>
    <col min="8442" max="8442" width="9.140625" style="372" customWidth="1"/>
    <col min="8443" max="8443" width="16" style="372" customWidth="1"/>
    <col min="8444" max="8445" width="12.7109375" style="372" bestFit="1" customWidth="1"/>
    <col min="8446" max="8680" width="9.140625" style="372" customWidth="1"/>
    <col min="8681" max="8681" width="10.5703125" style="372" customWidth="1"/>
    <col min="8682" max="8682" width="45.85546875" style="372" bestFit="1" customWidth="1"/>
    <col min="8683" max="8683" width="25.28515625" style="372" customWidth="1"/>
    <col min="8684" max="8684" width="26" style="372" customWidth="1"/>
    <col min="8685" max="8685" width="22.85546875" style="372" customWidth="1"/>
    <col min="8686" max="8693" width="26.85546875" style="372"/>
    <col min="8694" max="8694" width="10.5703125" style="372" customWidth="1"/>
    <col min="8695" max="8695" width="54" style="372" customWidth="1"/>
    <col min="8696" max="8696" width="25.42578125" style="372" customWidth="1"/>
    <col min="8697" max="8697" width="28.42578125" style="372" customWidth="1"/>
    <col min="8698" max="8698" width="9.140625" style="372" customWidth="1"/>
    <col min="8699" max="8699" width="16" style="372" customWidth="1"/>
    <col min="8700" max="8701" width="12.7109375" style="372" bestFit="1" customWidth="1"/>
    <col min="8702" max="8936" width="9.140625" style="372" customWidth="1"/>
    <col min="8937" max="8937" width="10.5703125" style="372" customWidth="1"/>
    <col min="8938" max="8938" width="45.85546875" style="372" bestFit="1" customWidth="1"/>
    <col min="8939" max="8939" width="25.28515625" style="372" customWidth="1"/>
    <col min="8940" max="8940" width="26" style="372" customWidth="1"/>
    <col min="8941" max="8941" width="22.85546875" style="372" customWidth="1"/>
    <col min="8942" max="8949" width="26.85546875" style="372"/>
    <col min="8950" max="8950" width="10.5703125" style="372" customWidth="1"/>
    <col min="8951" max="8951" width="54" style="372" customWidth="1"/>
    <col min="8952" max="8952" width="25.42578125" style="372" customWidth="1"/>
    <col min="8953" max="8953" width="28.42578125" style="372" customWidth="1"/>
    <col min="8954" max="8954" width="9.140625" style="372" customWidth="1"/>
    <col min="8955" max="8955" width="16" style="372" customWidth="1"/>
    <col min="8956" max="8957" width="12.7109375" style="372" bestFit="1" customWidth="1"/>
    <col min="8958" max="9192" width="9.140625" style="372" customWidth="1"/>
    <col min="9193" max="9193" width="10.5703125" style="372" customWidth="1"/>
    <col min="9194" max="9194" width="45.85546875" style="372" bestFit="1" customWidth="1"/>
    <col min="9195" max="9195" width="25.28515625" style="372" customWidth="1"/>
    <col min="9196" max="9196" width="26" style="372" customWidth="1"/>
    <col min="9197" max="9197" width="22.85546875" style="372" customWidth="1"/>
    <col min="9198" max="9205" width="26.85546875" style="372"/>
    <col min="9206" max="9206" width="10.5703125" style="372" customWidth="1"/>
    <col min="9207" max="9207" width="54" style="372" customWidth="1"/>
    <col min="9208" max="9208" width="25.42578125" style="372" customWidth="1"/>
    <col min="9209" max="9209" width="28.42578125" style="372" customWidth="1"/>
    <col min="9210" max="9210" width="9.140625" style="372" customWidth="1"/>
    <col min="9211" max="9211" width="16" style="372" customWidth="1"/>
    <col min="9212" max="9213" width="12.7109375" style="372" bestFit="1" customWidth="1"/>
    <col min="9214" max="9448" width="9.140625" style="372" customWidth="1"/>
    <col min="9449" max="9449" width="10.5703125" style="372" customWidth="1"/>
    <col min="9450" max="9450" width="45.85546875" style="372" bestFit="1" customWidth="1"/>
    <col min="9451" max="9451" width="25.28515625" style="372" customWidth="1"/>
    <col min="9452" max="9452" width="26" style="372" customWidth="1"/>
    <col min="9453" max="9453" width="22.85546875" style="372" customWidth="1"/>
    <col min="9454" max="9461" width="26.85546875" style="372"/>
    <col min="9462" max="9462" width="10.5703125" style="372" customWidth="1"/>
    <col min="9463" max="9463" width="54" style="372" customWidth="1"/>
    <col min="9464" max="9464" width="25.42578125" style="372" customWidth="1"/>
    <col min="9465" max="9465" width="28.42578125" style="372" customWidth="1"/>
    <col min="9466" max="9466" width="9.140625" style="372" customWidth="1"/>
    <col min="9467" max="9467" width="16" style="372" customWidth="1"/>
    <col min="9468" max="9469" width="12.7109375" style="372" bestFit="1" customWidth="1"/>
    <col min="9470" max="9704" width="9.140625" style="372" customWidth="1"/>
    <col min="9705" max="9705" width="10.5703125" style="372" customWidth="1"/>
    <col min="9706" max="9706" width="45.85546875" style="372" bestFit="1" customWidth="1"/>
    <col min="9707" max="9707" width="25.28515625" style="372" customWidth="1"/>
    <col min="9708" max="9708" width="26" style="372" customWidth="1"/>
    <col min="9709" max="9709" width="22.85546875" style="372" customWidth="1"/>
    <col min="9710" max="9717" width="26.85546875" style="372"/>
    <col min="9718" max="9718" width="10.5703125" style="372" customWidth="1"/>
    <col min="9719" max="9719" width="54" style="372" customWidth="1"/>
    <col min="9720" max="9720" width="25.42578125" style="372" customWidth="1"/>
    <col min="9721" max="9721" width="28.42578125" style="372" customWidth="1"/>
    <col min="9722" max="9722" width="9.140625" style="372" customWidth="1"/>
    <col min="9723" max="9723" width="16" style="372" customWidth="1"/>
    <col min="9724" max="9725" width="12.7109375" style="372" bestFit="1" customWidth="1"/>
    <col min="9726" max="9960" width="9.140625" style="372" customWidth="1"/>
    <col min="9961" max="9961" width="10.5703125" style="372" customWidth="1"/>
    <col min="9962" max="9962" width="45.85546875" style="372" bestFit="1" customWidth="1"/>
    <col min="9963" max="9963" width="25.28515625" style="372" customWidth="1"/>
    <col min="9964" max="9964" width="26" style="372" customWidth="1"/>
    <col min="9965" max="9965" width="22.85546875" style="372" customWidth="1"/>
    <col min="9966" max="9973" width="26.85546875" style="372"/>
    <col min="9974" max="9974" width="10.5703125" style="372" customWidth="1"/>
    <col min="9975" max="9975" width="54" style="372" customWidth="1"/>
    <col min="9976" max="9976" width="25.42578125" style="372" customWidth="1"/>
    <col min="9977" max="9977" width="28.42578125" style="372" customWidth="1"/>
    <col min="9978" max="9978" width="9.140625" style="372" customWidth="1"/>
    <col min="9979" max="9979" width="16" style="372" customWidth="1"/>
    <col min="9980" max="9981" width="12.7109375" style="372" bestFit="1" customWidth="1"/>
    <col min="9982" max="10216" width="9.140625" style="372" customWidth="1"/>
    <col min="10217" max="10217" width="10.5703125" style="372" customWidth="1"/>
    <col min="10218" max="10218" width="45.85546875" style="372" bestFit="1" customWidth="1"/>
    <col min="10219" max="10219" width="25.28515625" style="372" customWidth="1"/>
    <col min="10220" max="10220" width="26" style="372" customWidth="1"/>
    <col min="10221" max="10221" width="22.85546875" style="372" customWidth="1"/>
    <col min="10222" max="10229" width="26.85546875" style="372"/>
    <col min="10230" max="10230" width="10.5703125" style="372" customWidth="1"/>
    <col min="10231" max="10231" width="54" style="372" customWidth="1"/>
    <col min="10232" max="10232" width="25.42578125" style="372" customWidth="1"/>
    <col min="10233" max="10233" width="28.42578125" style="372" customWidth="1"/>
    <col min="10234" max="10234" width="9.140625" style="372" customWidth="1"/>
    <col min="10235" max="10235" width="16" style="372" customWidth="1"/>
    <col min="10236" max="10237" width="12.7109375" style="372" bestFit="1" customWidth="1"/>
    <col min="10238" max="10472" width="9.140625" style="372" customWidth="1"/>
    <col min="10473" max="10473" width="10.5703125" style="372" customWidth="1"/>
    <col min="10474" max="10474" width="45.85546875" style="372" bestFit="1" customWidth="1"/>
    <col min="10475" max="10475" width="25.28515625" style="372" customWidth="1"/>
    <col min="10476" max="10476" width="26" style="372" customWidth="1"/>
    <col min="10477" max="10477" width="22.85546875" style="372" customWidth="1"/>
    <col min="10478" max="10485" width="26.85546875" style="372"/>
    <col min="10486" max="10486" width="10.5703125" style="372" customWidth="1"/>
    <col min="10487" max="10487" width="54" style="372" customWidth="1"/>
    <col min="10488" max="10488" width="25.42578125" style="372" customWidth="1"/>
    <col min="10489" max="10489" width="28.42578125" style="372" customWidth="1"/>
    <col min="10490" max="10490" width="9.140625" style="372" customWidth="1"/>
    <col min="10491" max="10491" width="16" style="372" customWidth="1"/>
    <col min="10492" max="10493" width="12.7109375" style="372" bestFit="1" customWidth="1"/>
    <col min="10494" max="10728" width="9.140625" style="372" customWidth="1"/>
    <col min="10729" max="10729" width="10.5703125" style="372" customWidth="1"/>
    <col min="10730" max="10730" width="45.85546875" style="372" bestFit="1" customWidth="1"/>
    <col min="10731" max="10731" width="25.28515625" style="372" customWidth="1"/>
    <col min="10732" max="10732" width="26" style="372" customWidth="1"/>
    <col min="10733" max="10733" width="22.85546875" style="372" customWidth="1"/>
    <col min="10734" max="10741" width="26.85546875" style="372"/>
    <col min="10742" max="10742" width="10.5703125" style="372" customWidth="1"/>
    <col min="10743" max="10743" width="54" style="372" customWidth="1"/>
    <col min="10744" max="10744" width="25.42578125" style="372" customWidth="1"/>
    <col min="10745" max="10745" width="28.42578125" style="372" customWidth="1"/>
    <col min="10746" max="10746" width="9.140625" style="372" customWidth="1"/>
    <col min="10747" max="10747" width="16" style="372" customWidth="1"/>
    <col min="10748" max="10749" width="12.7109375" style="372" bestFit="1" customWidth="1"/>
    <col min="10750" max="10984" width="9.140625" style="372" customWidth="1"/>
    <col min="10985" max="10985" width="10.5703125" style="372" customWidth="1"/>
    <col min="10986" max="10986" width="45.85546875" style="372" bestFit="1" customWidth="1"/>
    <col min="10987" max="10987" width="25.28515625" style="372" customWidth="1"/>
    <col min="10988" max="10988" width="26" style="372" customWidth="1"/>
    <col min="10989" max="10989" width="22.85546875" style="372" customWidth="1"/>
    <col min="10990" max="10997" width="26.85546875" style="372"/>
    <col min="10998" max="10998" width="10.5703125" style="372" customWidth="1"/>
    <col min="10999" max="10999" width="54" style="372" customWidth="1"/>
    <col min="11000" max="11000" width="25.42578125" style="372" customWidth="1"/>
    <col min="11001" max="11001" width="28.42578125" style="372" customWidth="1"/>
    <col min="11002" max="11002" width="9.140625" style="372" customWidth="1"/>
    <col min="11003" max="11003" width="16" style="372" customWidth="1"/>
    <col min="11004" max="11005" width="12.7109375" style="372" bestFit="1" customWidth="1"/>
    <col min="11006" max="11240" width="9.140625" style="372" customWidth="1"/>
    <col min="11241" max="11241" width="10.5703125" style="372" customWidth="1"/>
    <col min="11242" max="11242" width="45.85546875" style="372" bestFit="1" customWidth="1"/>
    <col min="11243" max="11243" width="25.28515625" style="372" customWidth="1"/>
    <col min="11244" max="11244" width="26" style="372" customWidth="1"/>
    <col min="11245" max="11245" width="22.85546875" style="372" customWidth="1"/>
    <col min="11246" max="11253" width="26.85546875" style="372"/>
    <col min="11254" max="11254" width="10.5703125" style="372" customWidth="1"/>
    <col min="11255" max="11255" width="54" style="372" customWidth="1"/>
    <col min="11256" max="11256" width="25.42578125" style="372" customWidth="1"/>
    <col min="11257" max="11257" width="28.42578125" style="372" customWidth="1"/>
    <col min="11258" max="11258" width="9.140625" style="372" customWidth="1"/>
    <col min="11259" max="11259" width="16" style="372" customWidth="1"/>
    <col min="11260" max="11261" width="12.7109375" style="372" bestFit="1" customWidth="1"/>
    <col min="11262" max="11496" width="9.140625" style="372" customWidth="1"/>
    <col min="11497" max="11497" width="10.5703125" style="372" customWidth="1"/>
    <col min="11498" max="11498" width="45.85546875" style="372" bestFit="1" customWidth="1"/>
    <col min="11499" max="11499" width="25.28515625" style="372" customWidth="1"/>
    <col min="11500" max="11500" width="26" style="372" customWidth="1"/>
    <col min="11501" max="11501" width="22.85546875" style="372" customWidth="1"/>
    <col min="11502" max="11509" width="26.85546875" style="372"/>
    <col min="11510" max="11510" width="10.5703125" style="372" customWidth="1"/>
    <col min="11511" max="11511" width="54" style="372" customWidth="1"/>
    <col min="11512" max="11512" width="25.42578125" style="372" customWidth="1"/>
    <col min="11513" max="11513" width="28.42578125" style="372" customWidth="1"/>
    <col min="11514" max="11514" width="9.140625" style="372" customWidth="1"/>
    <col min="11515" max="11515" width="16" style="372" customWidth="1"/>
    <col min="11516" max="11517" width="12.7109375" style="372" bestFit="1" customWidth="1"/>
    <col min="11518" max="11752" width="9.140625" style="372" customWidth="1"/>
    <col min="11753" max="11753" width="10.5703125" style="372" customWidth="1"/>
    <col min="11754" max="11754" width="45.85546875" style="372" bestFit="1" customWidth="1"/>
    <col min="11755" max="11755" width="25.28515625" style="372" customWidth="1"/>
    <col min="11756" max="11756" width="26" style="372" customWidth="1"/>
    <col min="11757" max="11757" width="22.85546875" style="372" customWidth="1"/>
    <col min="11758" max="11765" width="26.85546875" style="372"/>
    <col min="11766" max="11766" width="10.5703125" style="372" customWidth="1"/>
    <col min="11767" max="11767" width="54" style="372" customWidth="1"/>
    <col min="11768" max="11768" width="25.42578125" style="372" customWidth="1"/>
    <col min="11769" max="11769" width="28.42578125" style="372" customWidth="1"/>
    <col min="11770" max="11770" width="9.140625" style="372" customWidth="1"/>
    <col min="11771" max="11771" width="16" style="372" customWidth="1"/>
    <col min="11772" max="11773" width="12.7109375" style="372" bestFit="1" customWidth="1"/>
    <col min="11774" max="12008" width="9.140625" style="372" customWidth="1"/>
    <col min="12009" max="12009" width="10.5703125" style="372" customWidth="1"/>
    <col min="12010" max="12010" width="45.85546875" style="372" bestFit="1" customWidth="1"/>
    <col min="12011" max="12011" width="25.28515625" style="372" customWidth="1"/>
    <col min="12012" max="12012" width="26" style="372" customWidth="1"/>
    <col min="12013" max="12013" width="22.85546875" style="372" customWidth="1"/>
    <col min="12014" max="12021" width="26.85546875" style="372"/>
    <col min="12022" max="12022" width="10.5703125" style="372" customWidth="1"/>
    <col min="12023" max="12023" width="54" style="372" customWidth="1"/>
    <col min="12024" max="12024" width="25.42578125" style="372" customWidth="1"/>
    <col min="12025" max="12025" width="28.42578125" style="372" customWidth="1"/>
    <col min="12026" max="12026" width="9.140625" style="372" customWidth="1"/>
    <col min="12027" max="12027" width="16" style="372" customWidth="1"/>
    <col min="12028" max="12029" width="12.7109375" style="372" bestFit="1" customWidth="1"/>
    <col min="12030" max="12264" width="9.140625" style="372" customWidth="1"/>
    <col min="12265" max="12265" width="10.5703125" style="372" customWidth="1"/>
    <col min="12266" max="12266" width="45.85546875" style="372" bestFit="1" customWidth="1"/>
    <col min="12267" max="12267" width="25.28515625" style="372" customWidth="1"/>
    <col min="12268" max="12268" width="26" style="372" customWidth="1"/>
    <col min="12269" max="12269" width="22.85546875" style="372" customWidth="1"/>
    <col min="12270" max="12277" width="26.85546875" style="372"/>
    <col min="12278" max="12278" width="10.5703125" style="372" customWidth="1"/>
    <col min="12279" max="12279" width="54" style="372" customWidth="1"/>
    <col min="12280" max="12280" width="25.42578125" style="372" customWidth="1"/>
    <col min="12281" max="12281" width="28.42578125" style="372" customWidth="1"/>
    <col min="12282" max="12282" width="9.140625" style="372" customWidth="1"/>
    <col min="12283" max="12283" width="16" style="372" customWidth="1"/>
    <col min="12284" max="12285" width="12.7109375" style="372" bestFit="1" customWidth="1"/>
    <col min="12286" max="12520" width="9.140625" style="372" customWidth="1"/>
    <col min="12521" max="12521" width="10.5703125" style="372" customWidth="1"/>
    <col min="12522" max="12522" width="45.85546875" style="372" bestFit="1" customWidth="1"/>
    <col min="12523" max="12523" width="25.28515625" style="372" customWidth="1"/>
    <col min="12524" max="12524" width="26" style="372" customWidth="1"/>
    <col min="12525" max="12525" width="22.85546875" style="372" customWidth="1"/>
    <col min="12526" max="12533" width="26.85546875" style="372"/>
    <col min="12534" max="12534" width="10.5703125" style="372" customWidth="1"/>
    <col min="12535" max="12535" width="54" style="372" customWidth="1"/>
    <col min="12536" max="12536" width="25.42578125" style="372" customWidth="1"/>
    <col min="12537" max="12537" width="28.42578125" style="372" customWidth="1"/>
    <col min="12538" max="12538" width="9.140625" style="372" customWidth="1"/>
    <col min="12539" max="12539" width="16" style="372" customWidth="1"/>
    <col min="12540" max="12541" width="12.7109375" style="372" bestFit="1" customWidth="1"/>
    <col min="12542" max="12776" width="9.140625" style="372" customWidth="1"/>
    <col min="12777" max="12777" width="10.5703125" style="372" customWidth="1"/>
    <col min="12778" max="12778" width="45.85546875" style="372" bestFit="1" customWidth="1"/>
    <col min="12779" max="12779" width="25.28515625" style="372" customWidth="1"/>
    <col min="12780" max="12780" width="26" style="372" customWidth="1"/>
    <col min="12781" max="12781" width="22.85546875" style="372" customWidth="1"/>
    <col min="12782" max="12789" width="26.85546875" style="372"/>
    <col min="12790" max="12790" width="10.5703125" style="372" customWidth="1"/>
    <col min="12791" max="12791" width="54" style="372" customWidth="1"/>
    <col min="12792" max="12792" width="25.42578125" style="372" customWidth="1"/>
    <col min="12793" max="12793" width="28.42578125" style="372" customWidth="1"/>
    <col min="12794" max="12794" width="9.140625" style="372" customWidth="1"/>
    <col min="12795" max="12795" width="16" style="372" customWidth="1"/>
    <col min="12796" max="12797" width="12.7109375" style="372" bestFit="1" customWidth="1"/>
    <col min="12798" max="13032" width="9.140625" style="372" customWidth="1"/>
    <col min="13033" max="13033" width="10.5703125" style="372" customWidth="1"/>
    <col min="13034" max="13034" width="45.85546875" style="372" bestFit="1" customWidth="1"/>
    <col min="13035" max="13035" width="25.28515625" style="372" customWidth="1"/>
    <col min="13036" max="13036" width="26" style="372" customWidth="1"/>
    <col min="13037" max="13037" width="22.85546875" style="372" customWidth="1"/>
    <col min="13038" max="13045" width="26.85546875" style="372"/>
    <col min="13046" max="13046" width="10.5703125" style="372" customWidth="1"/>
    <col min="13047" max="13047" width="54" style="372" customWidth="1"/>
    <col min="13048" max="13048" width="25.42578125" style="372" customWidth="1"/>
    <col min="13049" max="13049" width="28.42578125" style="372" customWidth="1"/>
    <col min="13050" max="13050" width="9.140625" style="372" customWidth="1"/>
    <col min="13051" max="13051" width="16" style="372" customWidth="1"/>
    <col min="13052" max="13053" width="12.7109375" style="372" bestFit="1" customWidth="1"/>
    <col min="13054" max="13288" width="9.140625" style="372" customWidth="1"/>
    <col min="13289" max="13289" width="10.5703125" style="372" customWidth="1"/>
    <col min="13290" max="13290" width="45.85546875" style="372" bestFit="1" customWidth="1"/>
    <col min="13291" max="13291" width="25.28515625" style="372" customWidth="1"/>
    <col min="13292" max="13292" width="26" style="372" customWidth="1"/>
    <col min="13293" max="13293" width="22.85546875" style="372" customWidth="1"/>
    <col min="13294" max="13301" width="26.85546875" style="372"/>
    <col min="13302" max="13302" width="10.5703125" style="372" customWidth="1"/>
    <col min="13303" max="13303" width="54" style="372" customWidth="1"/>
    <col min="13304" max="13304" width="25.42578125" style="372" customWidth="1"/>
    <col min="13305" max="13305" width="28.42578125" style="372" customWidth="1"/>
    <col min="13306" max="13306" width="9.140625" style="372" customWidth="1"/>
    <col min="13307" max="13307" width="16" style="372" customWidth="1"/>
    <col min="13308" max="13309" width="12.7109375" style="372" bestFit="1" customWidth="1"/>
    <col min="13310" max="13544" width="9.140625" style="372" customWidth="1"/>
    <col min="13545" max="13545" width="10.5703125" style="372" customWidth="1"/>
    <col min="13546" max="13546" width="45.85546875" style="372" bestFit="1" customWidth="1"/>
    <col min="13547" max="13547" width="25.28515625" style="372" customWidth="1"/>
    <col min="13548" max="13548" width="26" style="372" customWidth="1"/>
    <col min="13549" max="13549" width="22.85546875" style="372" customWidth="1"/>
    <col min="13550" max="13557" width="26.85546875" style="372"/>
    <col min="13558" max="13558" width="10.5703125" style="372" customWidth="1"/>
    <col min="13559" max="13559" width="54" style="372" customWidth="1"/>
    <col min="13560" max="13560" width="25.42578125" style="372" customWidth="1"/>
    <col min="13561" max="13561" width="28.42578125" style="372" customWidth="1"/>
    <col min="13562" max="13562" width="9.140625" style="372" customWidth="1"/>
    <col min="13563" max="13563" width="16" style="372" customWidth="1"/>
    <col min="13564" max="13565" width="12.7109375" style="372" bestFit="1" customWidth="1"/>
    <col min="13566" max="13800" width="9.140625" style="372" customWidth="1"/>
    <col min="13801" max="13801" width="10.5703125" style="372" customWidth="1"/>
    <col min="13802" max="13802" width="45.85546875" style="372" bestFit="1" customWidth="1"/>
    <col min="13803" max="13803" width="25.28515625" style="372" customWidth="1"/>
    <col min="13804" max="13804" width="26" style="372" customWidth="1"/>
    <col min="13805" max="13805" width="22.85546875" style="372" customWidth="1"/>
    <col min="13806" max="13813" width="26.85546875" style="372"/>
    <col min="13814" max="13814" width="10.5703125" style="372" customWidth="1"/>
    <col min="13815" max="13815" width="54" style="372" customWidth="1"/>
    <col min="13816" max="13816" width="25.42578125" style="372" customWidth="1"/>
    <col min="13817" max="13817" width="28.42578125" style="372" customWidth="1"/>
    <col min="13818" max="13818" width="9.140625" style="372" customWidth="1"/>
    <col min="13819" max="13819" width="16" style="372" customWidth="1"/>
    <col min="13820" max="13821" width="12.7109375" style="372" bestFit="1" customWidth="1"/>
    <col min="13822" max="14056" width="9.140625" style="372" customWidth="1"/>
    <col min="14057" max="14057" width="10.5703125" style="372" customWidth="1"/>
    <col min="14058" max="14058" width="45.85546875" style="372" bestFit="1" customWidth="1"/>
    <col min="14059" max="14059" width="25.28515625" style="372" customWidth="1"/>
    <col min="14060" max="14060" width="26" style="372" customWidth="1"/>
    <col min="14061" max="14061" width="22.85546875" style="372" customWidth="1"/>
    <col min="14062" max="14069" width="26.85546875" style="372"/>
    <col min="14070" max="14070" width="10.5703125" style="372" customWidth="1"/>
    <col min="14071" max="14071" width="54" style="372" customWidth="1"/>
    <col min="14072" max="14072" width="25.42578125" style="372" customWidth="1"/>
    <col min="14073" max="14073" width="28.42578125" style="372" customWidth="1"/>
    <col min="14074" max="14074" width="9.140625" style="372" customWidth="1"/>
    <col min="14075" max="14075" width="16" style="372" customWidth="1"/>
    <col min="14076" max="14077" width="12.7109375" style="372" bestFit="1" customWidth="1"/>
    <col min="14078" max="14312" width="9.140625" style="372" customWidth="1"/>
    <col min="14313" max="14313" width="10.5703125" style="372" customWidth="1"/>
    <col min="14314" max="14314" width="45.85546875" style="372" bestFit="1" customWidth="1"/>
    <col min="14315" max="14315" width="25.28515625" style="372" customWidth="1"/>
    <col min="14316" max="14316" width="26" style="372" customWidth="1"/>
    <col min="14317" max="14317" width="22.85546875" style="372" customWidth="1"/>
    <col min="14318" max="14325" width="26.85546875" style="372"/>
    <col min="14326" max="14326" width="10.5703125" style="372" customWidth="1"/>
    <col min="14327" max="14327" width="54" style="372" customWidth="1"/>
    <col min="14328" max="14328" width="25.42578125" style="372" customWidth="1"/>
    <col min="14329" max="14329" width="28.42578125" style="372" customWidth="1"/>
    <col min="14330" max="14330" width="9.140625" style="372" customWidth="1"/>
    <col min="14331" max="14331" width="16" style="372" customWidth="1"/>
    <col min="14332" max="14333" width="12.7109375" style="372" bestFit="1" customWidth="1"/>
    <col min="14334" max="14568" width="9.140625" style="372" customWidth="1"/>
    <col min="14569" max="14569" width="10.5703125" style="372" customWidth="1"/>
    <col min="14570" max="14570" width="45.85546875" style="372" bestFit="1" customWidth="1"/>
    <col min="14571" max="14571" width="25.28515625" style="372" customWidth="1"/>
    <col min="14572" max="14572" width="26" style="372" customWidth="1"/>
    <col min="14573" max="14573" width="22.85546875" style="372" customWidth="1"/>
    <col min="14574" max="14581" width="26.85546875" style="372"/>
    <col min="14582" max="14582" width="10.5703125" style="372" customWidth="1"/>
    <col min="14583" max="14583" width="54" style="372" customWidth="1"/>
    <col min="14584" max="14584" width="25.42578125" style="372" customWidth="1"/>
    <col min="14585" max="14585" width="28.42578125" style="372" customWidth="1"/>
    <col min="14586" max="14586" width="9.140625" style="372" customWidth="1"/>
    <col min="14587" max="14587" width="16" style="372" customWidth="1"/>
    <col min="14588" max="14589" width="12.7109375" style="372" bestFit="1" customWidth="1"/>
    <col min="14590" max="14824" width="9.140625" style="372" customWidth="1"/>
    <col min="14825" max="14825" width="10.5703125" style="372" customWidth="1"/>
    <col min="14826" max="14826" width="45.85546875" style="372" bestFit="1" customWidth="1"/>
    <col min="14827" max="14827" width="25.28515625" style="372" customWidth="1"/>
    <col min="14828" max="14828" width="26" style="372" customWidth="1"/>
    <col min="14829" max="14829" width="22.85546875" style="372" customWidth="1"/>
    <col min="14830" max="14837" width="26.85546875" style="372"/>
    <col min="14838" max="14838" width="10.5703125" style="372" customWidth="1"/>
    <col min="14839" max="14839" width="54" style="372" customWidth="1"/>
    <col min="14840" max="14840" width="25.42578125" style="372" customWidth="1"/>
    <col min="14841" max="14841" width="28.42578125" style="372" customWidth="1"/>
    <col min="14842" max="14842" width="9.140625" style="372" customWidth="1"/>
    <col min="14843" max="14843" width="16" style="372" customWidth="1"/>
    <col min="14844" max="14845" width="12.7109375" style="372" bestFit="1" customWidth="1"/>
    <col min="14846" max="15080" width="9.140625" style="372" customWidth="1"/>
    <col min="15081" max="15081" width="10.5703125" style="372" customWidth="1"/>
    <col min="15082" max="15082" width="45.85546875" style="372" bestFit="1" customWidth="1"/>
    <col min="15083" max="15083" width="25.28515625" style="372" customWidth="1"/>
    <col min="15084" max="15084" width="26" style="372" customWidth="1"/>
    <col min="15085" max="15085" width="22.85546875" style="372" customWidth="1"/>
    <col min="15086" max="15093" width="26.85546875" style="372"/>
    <col min="15094" max="15094" width="10.5703125" style="372" customWidth="1"/>
    <col min="15095" max="15095" width="54" style="372" customWidth="1"/>
    <col min="15096" max="15096" width="25.42578125" style="372" customWidth="1"/>
    <col min="15097" max="15097" width="28.42578125" style="372" customWidth="1"/>
    <col min="15098" max="15098" width="9.140625" style="372" customWidth="1"/>
    <col min="15099" max="15099" width="16" style="372" customWidth="1"/>
    <col min="15100" max="15101" width="12.7109375" style="372" bestFit="1" customWidth="1"/>
    <col min="15102" max="15336" width="9.140625" style="372" customWidth="1"/>
    <col min="15337" max="15337" width="10.5703125" style="372" customWidth="1"/>
    <col min="15338" max="15338" width="45.85546875" style="372" bestFit="1" customWidth="1"/>
    <col min="15339" max="15339" width="25.28515625" style="372" customWidth="1"/>
    <col min="15340" max="15340" width="26" style="372" customWidth="1"/>
    <col min="15341" max="15341" width="22.85546875" style="372" customWidth="1"/>
    <col min="15342" max="15349" width="26.85546875" style="372"/>
    <col min="15350" max="15350" width="10.5703125" style="372" customWidth="1"/>
    <col min="15351" max="15351" width="54" style="372" customWidth="1"/>
    <col min="15352" max="15352" width="25.42578125" style="372" customWidth="1"/>
    <col min="15353" max="15353" width="28.42578125" style="372" customWidth="1"/>
    <col min="15354" max="15354" width="9.140625" style="372" customWidth="1"/>
    <col min="15355" max="15355" width="16" style="372" customWidth="1"/>
    <col min="15356" max="15357" width="12.7109375" style="372" bestFit="1" customWidth="1"/>
    <col min="15358" max="15592" width="9.140625" style="372" customWidth="1"/>
    <col min="15593" max="15593" width="10.5703125" style="372" customWidth="1"/>
    <col min="15594" max="15594" width="45.85546875" style="372" bestFit="1" customWidth="1"/>
    <col min="15595" max="15595" width="25.28515625" style="372" customWidth="1"/>
    <col min="15596" max="15596" width="26" style="372" customWidth="1"/>
    <col min="15597" max="15597" width="22.85546875" style="372" customWidth="1"/>
    <col min="15598" max="15605" width="26.85546875" style="372"/>
    <col min="15606" max="15606" width="10.5703125" style="372" customWidth="1"/>
    <col min="15607" max="15607" width="54" style="372" customWidth="1"/>
    <col min="15608" max="15608" width="25.42578125" style="372" customWidth="1"/>
    <col min="15609" max="15609" width="28.42578125" style="372" customWidth="1"/>
    <col min="15610" max="15610" width="9.140625" style="372" customWidth="1"/>
    <col min="15611" max="15611" width="16" style="372" customWidth="1"/>
    <col min="15612" max="15613" width="12.7109375" style="372" bestFit="1" customWidth="1"/>
    <col min="15614" max="15848" width="9.140625" style="372" customWidth="1"/>
    <col min="15849" max="15849" width="10.5703125" style="372" customWidth="1"/>
    <col min="15850" max="15850" width="45.85546875" style="372" bestFit="1" customWidth="1"/>
    <col min="15851" max="15851" width="25.28515625" style="372" customWidth="1"/>
    <col min="15852" max="15852" width="26" style="372" customWidth="1"/>
    <col min="15853" max="15853" width="22.85546875" style="372" customWidth="1"/>
    <col min="15854" max="15861" width="26.85546875" style="372"/>
    <col min="15862" max="15862" width="10.5703125" style="372" customWidth="1"/>
    <col min="15863" max="15863" width="54" style="372" customWidth="1"/>
    <col min="15864" max="15864" width="25.42578125" style="372" customWidth="1"/>
    <col min="15865" max="15865" width="28.42578125" style="372" customWidth="1"/>
    <col min="15866" max="15866" width="9.140625" style="372" customWidth="1"/>
    <col min="15867" max="15867" width="16" style="372" customWidth="1"/>
    <col min="15868" max="15869" width="12.7109375" style="372" bestFit="1" customWidth="1"/>
    <col min="15870" max="16104" width="9.140625" style="372" customWidth="1"/>
    <col min="16105" max="16105" width="10.5703125" style="372" customWidth="1"/>
    <col min="16106" max="16106" width="45.85546875" style="372" bestFit="1" customWidth="1"/>
    <col min="16107" max="16107" width="25.28515625" style="372" customWidth="1"/>
    <col min="16108" max="16108" width="26" style="372" customWidth="1"/>
    <col min="16109" max="16109" width="22.85546875" style="372" customWidth="1"/>
    <col min="16110" max="16117" width="26.85546875" style="372"/>
    <col min="16118" max="16118" width="10.5703125" style="372" customWidth="1"/>
    <col min="16119" max="16119" width="54" style="372" customWidth="1"/>
    <col min="16120" max="16120" width="25.42578125" style="372" customWidth="1"/>
    <col min="16121" max="16121" width="28.42578125" style="372" customWidth="1"/>
    <col min="16122" max="16122" width="9.140625" style="372" customWidth="1"/>
    <col min="16123" max="16123" width="16" style="372" customWidth="1"/>
    <col min="16124" max="16125" width="12.7109375" style="372" bestFit="1" customWidth="1"/>
    <col min="16126" max="16360" width="9.140625" style="372" customWidth="1"/>
    <col min="16361" max="16361" width="10.5703125" style="372" customWidth="1"/>
    <col min="16362" max="16362" width="45.85546875" style="372" bestFit="1" customWidth="1"/>
    <col min="16363" max="16363" width="25.28515625" style="372" customWidth="1"/>
    <col min="16364" max="16364" width="26" style="372" customWidth="1"/>
    <col min="16365" max="16365" width="22.85546875" style="372" customWidth="1"/>
    <col min="16366" max="16384" width="26.85546875" style="372"/>
  </cols>
  <sheetData>
    <row r="1" spans="1:4">
      <c r="D1" s="373"/>
    </row>
    <row r="2" spans="1:4" ht="15">
      <c r="B2" s="713" t="s">
        <v>98</v>
      </c>
      <c r="C2" s="713"/>
      <c r="D2" s="375"/>
    </row>
    <row r="3" spans="1:4" ht="15.75">
      <c r="A3" s="376" t="s">
        <v>822</v>
      </c>
      <c r="D3" s="467" t="s">
        <v>960</v>
      </c>
    </row>
    <row r="4" spans="1:4" ht="16.5">
      <c r="A4" s="377"/>
      <c r="B4" s="377"/>
      <c r="C4" s="378"/>
    </row>
    <row r="5" spans="1:4">
      <c r="C5" s="380"/>
      <c r="D5" s="381" t="s">
        <v>64</v>
      </c>
    </row>
    <row r="6" spans="1:4" ht="22.15" customHeight="1">
      <c r="A6" s="714" t="s">
        <v>16</v>
      </c>
      <c r="B6" s="714" t="s">
        <v>65</v>
      </c>
      <c r="C6" s="716" t="s">
        <v>118</v>
      </c>
      <c r="D6" s="716"/>
    </row>
    <row r="7" spans="1:4" ht="18" customHeight="1">
      <c r="A7" s="714"/>
      <c r="B7" s="715"/>
      <c r="C7" s="645" t="s">
        <v>998</v>
      </c>
      <c r="D7" s="645" t="s">
        <v>999</v>
      </c>
    </row>
    <row r="8" spans="1:4" ht="15">
      <c r="A8" s="382">
        <v>1</v>
      </c>
      <c r="B8" s="383" t="s">
        <v>823</v>
      </c>
      <c r="C8" s="384"/>
      <c r="D8" s="385"/>
    </row>
    <row r="9" spans="1:4" ht="15">
      <c r="A9" s="382">
        <v>1.1000000000000001</v>
      </c>
      <c r="B9" s="386" t="s">
        <v>824</v>
      </c>
      <c r="C9" s="384"/>
      <c r="D9" s="385"/>
    </row>
    <row r="10" spans="1:4" ht="15">
      <c r="A10" s="387" t="s">
        <v>17</v>
      </c>
      <c r="B10" s="388" t="s">
        <v>662</v>
      </c>
      <c r="C10" s="389">
        <v>616770.04000001191</v>
      </c>
      <c r="D10" s="385">
        <v>10285663.723516531</v>
      </c>
    </row>
    <row r="11" spans="1:4" ht="15">
      <c r="A11" s="387" t="s">
        <v>18</v>
      </c>
      <c r="B11" s="388" t="s">
        <v>825</v>
      </c>
      <c r="C11" s="389"/>
      <c r="D11" s="385"/>
    </row>
    <row r="12" spans="1:4" ht="15">
      <c r="A12" s="387" t="s">
        <v>19</v>
      </c>
      <c r="B12" s="388" t="s">
        <v>663</v>
      </c>
      <c r="C12" s="389">
        <v>4556984.7300000004</v>
      </c>
      <c r="D12" s="385">
        <v>26382862.905271236</v>
      </c>
    </row>
    <row r="13" spans="1:4" ht="15">
      <c r="A13" s="387" t="s">
        <v>20</v>
      </c>
      <c r="B13" s="388" t="s">
        <v>664</v>
      </c>
      <c r="C13" s="389">
        <v>327462420</v>
      </c>
      <c r="D13" s="385">
        <v>357962420</v>
      </c>
    </row>
    <row r="14" spans="1:4" ht="15">
      <c r="A14" s="387" t="s">
        <v>21</v>
      </c>
      <c r="B14" s="388" t="s">
        <v>826</v>
      </c>
      <c r="C14" s="386"/>
      <c r="D14" s="385"/>
    </row>
    <row r="15" spans="1:4" ht="15">
      <c r="A15" s="387" t="s">
        <v>22</v>
      </c>
      <c r="B15" s="388" t="s">
        <v>827</v>
      </c>
      <c r="C15" s="389">
        <v>865854.38</v>
      </c>
      <c r="D15" s="385">
        <v>260342785.35233644</v>
      </c>
    </row>
    <row r="16" spans="1:4" ht="15">
      <c r="A16" s="387" t="s">
        <v>23</v>
      </c>
      <c r="B16" s="388" t="s">
        <v>828</v>
      </c>
      <c r="C16" s="389">
        <v>48117182.130000003</v>
      </c>
      <c r="D16" s="385">
        <v>49917182.130000003</v>
      </c>
    </row>
    <row r="17" spans="1:238">
      <c r="A17" s="387" t="s">
        <v>24</v>
      </c>
      <c r="B17" s="388" t="s">
        <v>829</v>
      </c>
      <c r="C17" s="390"/>
      <c r="D17" s="385"/>
    </row>
    <row r="18" spans="1:238" ht="28.5">
      <c r="A18" s="391" t="s">
        <v>25</v>
      </c>
      <c r="B18" s="392" t="s">
        <v>830</v>
      </c>
      <c r="C18" s="390"/>
      <c r="D18" s="385">
        <v>0</v>
      </c>
    </row>
    <row r="19" spans="1:238">
      <c r="A19" s="387" t="s">
        <v>831</v>
      </c>
      <c r="B19" s="393" t="s">
        <v>832</v>
      </c>
      <c r="C19" s="390"/>
      <c r="D19" s="385">
        <v>0</v>
      </c>
    </row>
    <row r="20" spans="1:238" ht="15">
      <c r="A20" s="382" t="s">
        <v>26</v>
      </c>
      <c r="B20" s="394" t="s">
        <v>833</v>
      </c>
      <c r="C20" s="395">
        <f>SUM(C8:C19)</f>
        <v>381619211.28000003</v>
      </c>
      <c r="D20" s="395">
        <f>SUM(D8:D19)</f>
        <v>704890914.11112416</v>
      </c>
    </row>
    <row r="21" spans="1:238" ht="15">
      <c r="A21" s="382">
        <v>1.2</v>
      </c>
      <c r="B21" s="386" t="s">
        <v>834</v>
      </c>
      <c r="C21" s="395"/>
      <c r="D21" s="385">
        <v>0</v>
      </c>
    </row>
    <row r="22" spans="1:238">
      <c r="A22" s="387" t="s">
        <v>27</v>
      </c>
      <c r="B22" s="388" t="s">
        <v>835</v>
      </c>
      <c r="C22" s="390">
        <v>99537000</v>
      </c>
      <c r="D22" s="385">
        <v>99537000</v>
      </c>
    </row>
    <row r="23" spans="1:238">
      <c r="A23" s="387" t="s">
        <v>28</v>
      </c>
      <c r="B23" s="388" t="s">
        <v>665</v>
      </c>
      <c r="C23" s="390">
        <v>31125905.699999999</v>
      </c>
      <c r="D23" s="385">
        <v>31125905.699999999</v>
      </c>
    </row>
    <row r="24" spans="1:238">
      <c r="A24" s="387" t="s">
        <v>29</v>
      </c>
      <c r="B24" s="388" t="s">
        <v>836</v>
      </c>
      <c r="C24" s="390"/>
      <c r="D24" s="385">
        <v>0</v>
      </c>
    </row>
    <row r="25" spans="1:238">
      <c r="A25" s="387" t="s">
        <v>30</v>
      </c>
      <c r="B25" s="388" t="s">
        <v>666</v>
      </c>
      <c r="C25" s="390">
        <v>3701734295</v>
      </c>
      <c r="D25" s="385">
        <v>3701734295</v>
      </c>
    </row>
    <row r="26" spans="1:238">
      <c r="A26" s="387" t="s">
        <v>31</v>
      </c>
      <c r="B26" s="388" t="s">
        <v>837</v>
      </c>
      <c r="C26" s="390"/>
      <c r="D26" s="385">
        <v>0</v>
      </c>
    </row>
    <row r="27" spans="1:238">
      <c r="A27" s="387" t="s">
        <v>32</v>
      </c>
      <c r="B27" s="388" t="s">
        <v>838</v>
      </c>
      <c r="C27" s="390"/>
      <c r="D27" s="385">
        <v>0</v>
      </c>
    </row>
    <row r="28" spans="1:238">
      <c r="A28" s="387" t="s">
        <v>33</v>
      </c>
      <c r="B28" s="388" t="s">
        <v>839</v>
      </c>
      <c r="C28" s="390"/>
      <c r="D28" s="385">
        <v>0</v>
      </c>
    </row>
    <row r="29" spans="1:238">
      <c r="A29" s="387" t="s">
        <v>34</v>
      </c>
      <c r="B29" s="388" t="s">
        <v>840</v>
      </c>
      <c r="C29" s="390"/>
      <c r="D29" s="385">
        <v>0</v>
      </c>
    </row>
    <row r="30" spans="1:238">
      <c r="A30" s="387" t="s">
        <v>85</v>
      </c>
      <c r="B30" s="393" t="s">
        <v>841</v>
      </c>
      <c r="C30" s="390"/>
      <c r="D30" s="385">
        <v>0</v>
      </c>
    </row>
    <row r="31" spans="1:238" ht="16.149999999999999" customHeight="1">
      <c r="A31" s="387" t="s">
        <v>35</v>
      </c>
      <c r="B31" s="396" t="s">
        <v>842</v>
      </c>
      <c r="C31" s="395">
        <f>SUM(C22:C30)</f>
        <v>3832397200.6999998</v>
      </c>
      <c r="D31" s="395">
        <f>SUM(D22:D30)</f>
        <v>3832397200.6999998</v>
      </c>
    </row>
    <row r="32" spans="1:238" ht="20.45" customHeight="1">
      <c r="A32" s="397">
        <v>1.3</v>
      </c>
      <c r="B32" s="398" t="s">
        <v>843</v>
      </c>
      <c r="C32" s="399">
        <f>C20+C31</f>
        <v>4214016411.98</v>
      </c>
      <c r="D32" s="399">
        <f>D20+D31</f>
        <v>4537288114.8111238</v>
      </c>
      <c r="E32" s="400">
        <f>+D32-'[4]Guilgee balans'!H65</f>
        <v>0</v>
      </c>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40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01"/>
      <c r="FM32" s="401"/>
      <c r="FN32" s="401"/>
      <c r="FO32" s="401"/>
      <c r="FP32" s="401"/>
      <c r="FQ32" s="401"/>
      <c r="FR32" s="401"/>
      <c r="FS32" s="401"/>
      <c r="FT32" s="401"/>
      <c r="FU32" s="401"/>
      <c r="FV32" s="401"/>
      <c r="FW32" s="401"/>
      <c r="FX32" s="401"/>
      <c r="FY32" s="401"/>
      <c r="FZ32" s="401"/>
      <c r="GA32" s="401"/>
      <c r="GB32" s="401"/>
      <c r="GC32" s="401"/>
      <c r="GD32" s="401"/>
      <c r="GE32" s="401"/>
      <c r="GF32" s="401"/>
      <c r="GG32" s="401"/>
      <c r="GH32" s="401"/>
      <c r="GI32" s="401"/>
      <c r="GJ32" s="401"/>
      <c r="GK32" s="401"/>
      <c r="GL32" s="401"/>
      <c r="GM32" s="401"/>
      <c r="GN32" s="401"/>
      <c r="GO32" s="401"/>
      <c r="GP32" s="401"/>
      <c r="GQ32" s="401"/>
      <c r="GR32" s="401"/>
      <c r="GS32" s="401"/>
      <c r="GT32" s="401"/>
      <c r="GU32" s="401"/>
      <c r="GV32" s="401"/>
      <c r="GW32" s="401"/>
      <c r="GX32" s="401"/>
      <c r="GY32" s="401"/>
      <c r="GZ32" s="401"/>
      <c r="HA32" s="401"/>
      <c r="HB32" s="401"/>
      <c r="HC32" s="401"/>
      <c r="HD32" s="401"/>
      <c r="HE32" s="401"/>
      <c r="HF32" s="401"/>
      <c r="HG32" s="401"/>
      <c r="HH32" s="401"/>
      <c r="HI32" s="401"/>
      <c r="HJ32" s="401"/>
      <c r="HK32" s="401"/>
      <c r="HL32" s="401"/>
      <c r="HM32" s="401"/>
      <c r="HN32" s="401"/>
      <c r="HO32" s="401"/>
      <c r="HP32" s="401"/>
      <c r="HQ32" s="401"/>
      <c r="HR32" s="401"/>
      <c r="HS32" s="401"/>
      <c r="HT32" s="401"/>
      <c r="HU32" s="401"/>
      <c r="HV32" s="401"/>
      <c r="HW32" s="401"/>
      <c r="HX32" s="401"/>
      <c r="HY32" s="401"/>
      <c r="HZ32" s="401"/>
      <c r="IA32" s="401"/>
      <c r="IB32" s="401"/>
      <c r="IC32" s="401"/>
      <c r="ID32" s="401"/>
    </row>
    <row r="33" spans="1:238" ht="15">
      <c r="A33" s="382">
        <v>2</v>
      </c>
      <c r="B33" s="402" t="s">
        <v>844</v>
      </c>
      <c r="C33" s="384"/>
      <c r="D33" s="385"/>
    </row>
    <row r="34" spans="1:238" ht="15">
      <c r="A34" s="382">
        <v>2.1</v>
      </c>
      <c r="B34" s="403" t="s">
        <v>845</v>
      </c>
      <c r="C34" s="404"/>
      <c r="D34" s="385"/>
    </row>
    <row r="35" spans="1:238" ht="15">
      <c r="A35" s="382" t="s">
        <v>36</v>
      </c>
      <c r="B35" s="405" t="s">
        <v>846</v>
      </c>
      <c r="C35" s="384"/>
      <c r="D35" s="385"/>
    </row>
    <row r="36" spans="1:238">
      <c r="A36" s="387" t="s">
        <v>37</v>
      </c>
      <c r="B36" s="388" t="s">
        <v>847</v>
      </c>
      <c r="C36" s="390">
        <v>0</v>
      </c>
      <c r="D36" s="385">
        <f>+'[4]Guilgee balans'!I28</f>
        <v>0</v>
      </c>
    </row>
    <row r="37" spans="1:238">
      <c r="A37" s="387" t="s">
        <v>38</v>
      </c>
      <c r="B37" s="388" t="s">
        <v>7</v>
      </c>
      <c r="C37" s="385">
        <v>0</v>
      </c>
      <c r="D37" s="385"/>
    </row>
    <row r="38" spans="1:238">
      <c r="A38" s="387" t="s">
        <v>39</v>
      </c>
      <c r="B38" s="388" t="s">
        <v>667</v>
      </c>
      <c r="C38" s="390">
        <v>177210.02000000002</v>
      </c>
      <c r="D38" s="385">
        <f>+'[4]Guilgee balans'!I27</f>
        <v>816303.29232500005</v>
      </c>
    </row>
    <row r="39" spans="1:238">
      <c r="A39" s="387" t="s">
        <v>40</v>
      </c>
      <c r="B39" s="388" t="s">
        <v>848</v>
      </c>
      <c r="C39" s="390">
        <v>0</v>
      </c>
      <c r="D39" s="385">
        <f>+'[4]Guilgee balans'!I26</f>
        <v>582195.30700000003</v>
      </c>
    </row>
    <row r="40" spans="1:238">
      <c r="A40" s="387" t="s">
        <v>41</v>
      </c>
      <c r="B40" s="406" t="s">
        <v>849</v>
      </c>
      <c r="C40" s="390"/>
      <c r="D40" s="385"/>
    </row>
    <row r="41" spans="1:238">
      <c r="A41" s="387" t="s">
        <v>42</v>
      </c>
      <c r="B41" s="407" t="s">
        <v>850</v>
      </c>
      <c r="C41" s="390"/>
      <c r="D41" s="385"/>
    </row>
    <row r="42" spans="1:238">
      <c r="A42" s="387" t="s">
        <v>43</v>
      </c>
      <c r="B42" s="407" t="s">
        <v>851</v>
      </c>
      <c r="C42" s="390"/>
      <c r="D42" s="385"/>
    </row>
    <row r="43" spans="1:238">
      <c r="A43" s="387" t="s">
        <v>44</v>
      </c>
      <c r="B43" s="388" t="s">
        <v>388</v>
      </c>
      <c r="C43" s="390">
        <v>0</v>
      </c>
      <c r="D43" s="385">
        <v>67334383.801500008</v>
      </c>
    </row>
    <row r="44" spans="1:238">
      <c r="A44" s="387" t="s">
        <v>45</v>
      </c>
      <c r="B44" s="388" t="s">
        <v>852</v>
      </c>
      <c r="C44" s="390"/>
      <c r="D44" s="385"/>
    </row>
    <row r="45" spans="1:238" ht="15">
      <c r="A45" s="408" t="s">
        <v>46</v>
      </c>
      <c r="B45" s="407" t="s">
        <v>668</v>
      </c>
      <c r="C45" s="390">
        <v>171334342.70999998</v>
      </c>
      <c r="D45" s="385">
        <v>442954844.45000005</v>
      </c>
      <c r="E45" s="376"/>
      <c r="F45" s="376"/>
      <c r="G45" s="376"/>
      <c r="H45" s="376"/>
      <c r="I45" s="376"/>
      <c r="J45" s="376"/>
      <c r="K45" s="376"/>
      <c r="L45" s="376"/>
      <c r="M45" s="376"/>
      <c r="N45" s="376"/>
      <c r="O45" s="376"/>
      <c r="P45" s="376"/>
      <c r="Q45" s="376"/>
      <c r="R45" s="376"/>
      <c r="S45" s="376"/>
      <c r="T45" s="376"/>
      <c r="U45" s="376"/>
      <c r="V45" s="376"/>
      <c r="W45" s="376"/>
      <c r="X45" s="376"/>
      <c r="Y45" s="376"/>
      <c r="Z45" s="376"/>
      <c r="AA45" s="376"/>
      <c r="AB45" s="376"/>
      <c r="AC45" s="376"/>
      <c r="AD45" s="376"/>
      <c r="AE45" s="376"/>
      <c r="AF45" s="376"/>
      <c r="AG45" s="376"/>
      <c r="AH45" s="376"/>
      <c r="AI45" s="376"/>
      <c r="AJ45" s="376"/>
      <c r="AK45" s="376"/>
      <c r="AL45" s="376"/>
      <c r="AM45" s="376"/>
      <c r="AN45" s="376"/>
      <c r="AO45" s="376"/>
      <c r="AP45" s="376"/>
      <c r="AQ45" s="376"/>
      <c r="AR45" s="376"/>
      <c r="AS45" s="376"/>
      <c r="AT45" s="376"/>
      <c r="AU45" s="376"/>
      <c r="AV45" s="376"/>
      <c r="AW45" s="376"/>
      <c r="AX45" s="376"/>
      <c r="AY45" s="376"/>
      <c r="AZ45" s="376"/>
      <c r="BA45" s="376"/>
      <c r="BB45" s="376"/>
      <c r="BC45" s="376"/>
      <c r="BD45" s="376"/>
      <c r="BE45" s="376"/>
      <c r="BF45" s="376"/>
      <c r="BG45" s="376"/>
      <c r="BH45" s="376"/>
      <c r="BI45" s="376"/>
      <c r="BJ45" s="376"/>
      <c r="BK45" s="376"/>
      <c r="BL45" s="376"/>
      <c r="BM45" s="376"/>
      <c r="BN45" s="376"/>
      <c r="BO45" s="376"/>
      <c r="BP45" s="376"/>
      <c r="BQ45" s="376"/>
      <c r="BR45" s="376"/>
      <c r="BS45" s="376"/>
      <c r="BT45" s="376"/>
      <c r="BU45" s="376"/>
      <c r="BV45" s="376"/>
      <c r="BW45" s="376"/>
      <c r="BX45" s="376"/>
      <c r="BY45" s="376"/>
      <c r="BZ45" s="376"/>
      <c r="CA45" s="376"/>
      <c r="CB45" s="376"/>
      <c r="CC45" s="376"/>
      <c r="CD45" s="376"/>
      <c r="CE45" s="376"/>
      <c r="CF45" s="376"/>
      <c r="CG45" s="376"/>
      <c r="CH45" s="376"/>
      <c r="CI45" s="376"/>
      <c r="CJ45" s="376"/>
      <c r="CK45" s="376"/>
      <c r="CL45" s="376"/>
      <c r="CM45" s="376"/>
      <c r="CN45" s="376"/>
      <c r="CO45" s="376"/>
      <c r="CP45" s="376"/>
      <c r="CQ45" s="376"/>
      <c r="CR45" s="376"/>
      <c r="CS45" s="376"/>
      <c r="CT45" s="376"/>
      <c r="CU45" s="376"/>
      <c r="CV45" s="376"/>
      <c r="CW45" s="376"/>
      <c r="CX45" s="376"/>
      <c r="CY45" s="376"/>
      <c r="CZ45" s="376"/>
      <c r="DA45" s="376"/>
      <c r="DB45" s="376"/>
      <c r="DC45" s="376"/>
      <c r="DD45" s="376"/>
      <c r="DE45" s="376"/>
      <c r="DF45" s="376"/>
      <c r="DG45" s="376"/>
      <c r="DH45" s="376"/>
      <c r="DI45" s="376"/>
      <c r="DJ45" s="376"/>
      <c r="DK45" s="376"/>
      <c r="DL45" s="376"/>
      <c r="DM45" s="376"/>
      <c r="DN45" s="376"/>
      <c r="DO45" s="376"/>
      <c r="DP45" s="376"/>
      <c r="DQ45" s="376"/>
      <c r="DR45" s="376"/>
      <c r="DS45" s="376"/>
      <c r="DT45" s="376"/>
      <c r="DU45" s="376"/>
      <c r="DV45" s="376"/>
      <c r="DW45" s="376"/>
      <c r="DX45" s="376"/>
      <c r="DY45" s="376"/>
      <c r="DZ45" s="376"/>
      <c r="EA45" s="376"/>
      <c r="EB45" s="376"/>
      <c r="EC45" s="376"/>
      <c r="ED45" s="376"/>
      <c r="EE45" s="376"/>
      <c r="EF45" s="376"/>
      <c r="EG45" s="376"/>
      <c r="EH45" s="376"/>
      <c r="EI45" s="376"/>
      <c r="EJ45" s="376"/>
      <c r="EK45" s="376"/>
      <c r="EL45" s="376"/>
      <c r="EM45" s="376"/>
      <c r="EN45" s="376"/>
      <c r="EO45" s="376"/>
      <c r="EP45" s="376"/>
      <c r="EQ45" s="376"/>
      <c r="ER45" s="376"/>
      <c r="ES45" s="376"/>
      <c r="ET45" s="376"/>
      <c r="EU45" s="376"/>
      <c r="EV45" s="376"/>
      <c r="EW45" s="376"/>
      <c r="EX45" s="376"/>
      <c r="EY45" s="376"/>
      <c r="EZ45" s="376"/>
      <c r="FA45" s="376"/>
      <c r="FB45" s="376"/>
      <c r="FC45" s="376"/>
      <c r="FD45" s="376"/>
      <c r="FE45" s="376"/>
      <c r="FF45" s="376"/>
      <c r="FG45" s="376"/>
      <c r="FH45" s="376"/>
      <c r="FI45" s="376"/>
      <c r="FJ45" s="376"/>
      <c r="FK45" s="376"/>
      <c r="FL45" s="376"/>
      <c r="FM45" s="376"/>
      <c r="FN45" s="376"/>
      <c r="FO45" s="376"/>
      <c r="FP45" s="376"/>
      <c r="FQ45" s="376"/>
      <c r="FR45" s="376"/>
      <c r="FS45" s="376"/>
      <c r="FT45" s="376"/>
      <c r="FU45" s="376"/>
      <c r="FV45" s="376"/>
      <c r="FW45" s="376"/>
      <c r="FX45" s="376"/>
      <c r="FY45" s="376"/>
      <c r="FZ45" s="376"/>
      <c r="GA45" s="376"/>
      <c r="GB45" s="376"/>
      <c r="GC45" s="376"/>
      <c r="GD45" s="376"/>
      <c r="GE45" s="376"/>
      <c r="GF45" s="376"/>
      <c r="GG45" s="376"/>
      <c r="GH45" s="376"/>
      <c r="GI45" s="376"/>
      <c r="GJ45" s="376"/>
      <c r="GK45" s="376"/>
      <c r="GL45" s="376"/>
      <c r="GM45" s="376"/>
      <c r="GN45" s="376"/>
      <c r="GO45" s="376"/>
      <c r="GP45" s="376"/>
      <c r="GQ45" s="376"/>
      <c r="GR45" s="376"/>
      <c r="GS45" s="376"/>
      <c r="GT45" s="376"/>
      <c r="GU45" s="376"/>
      <c r="GV45" s="376"/>
      <c r="GW45" s="376"/>
      <c r="GX45" s="376"/>
      <c r="GY45" s="376"/>
      <c r="GZ45" s="376"/>
      <c r="HA45" s="376"/>
      <c r="HB45" s="376"/>
      <c r="HC45" s="376"/>
      <c r="HD45" s="376"/>
      <c r="HE45" s="376"/>
      <c r="HF45" s="376"/>
      <c r="HG45" s="376"/>
      <c r="HH45" s="376"/>
      <c r="HI45" s="376"/>
      <c r="HJ45" s="376"/>
      <c r="HK45" s="376"/>
      <c r="HL45" s="376"/>
      <c r="HM45" s="376"/>
      <c r="HN45" s="376"/>
      <c r="HO45" s="376"/>
      <c r="HP45" s="376"/>
      <c r="HQ45" s="376"/>
      <c r="HR45" s="376"/>
      <c r="HS45" s="376"/>
      <c r="HT45" s="376"/>
      <c r="HU45" s="376"/>
      <c r="HV45" s="376"/>
      <c r="HW45" s="376"/>
      <c r="HX45" s="376"/>
      <c r="HY45" s="376"/>
      <c r="HZ45" s="376"/>
      <c r="IA45" s="376"/>
      <c r="IB45" s="376"/>
      <c r="IC45" s="376"/>
      <c r="ID45" s="376"/>
    </row>
    <row r="46" spans="1:238" ht="42.75">
      <c r="A46" s="408" t="s">
        <v>47</v>
      </c>
      <c r="B46" s="392" t="s">
        <v>853</v>
      </c>
      <c r="C46" s="390"/>
      <c r="D46" s="385"/>
    </row>
    <row r="47" spans="1:238">
      <c r="A47" s="408" t="s">
        <v>854</v>
      </c>
      <c r="B47" s="409"/>
      <c r="C47" s="390"/>
      <c r="D47" s="385">
        <v>0</v>
      </c>
    </row>
    <row r="48" spans="1:238" ht="15">
      <c r="A48" s="408" t="s">
        <v>855</v>
      </c>
      <c r="B48" s="410" t="s">
        <v>856</v>
      </c>
      <c r="C48" s="411">
        <f>SUM(C35:C46)</f>
        <v>171511552.72999999</v>
      </c>
      <c r="D48" s="411">
        <f>SUM(D35:D46)</f>
        <v>511687726.85082507</v>
      </c>
    </row>
    <row r="49" spans="1:4" ht="15">
      <c r="A49" s="386" t="s">
        <v>48</v>
      </c>
      <c r="B49" s="403" t="s">
        <v>857</v>
      </c>
      <c r="C49" s="412"/>
      <c r="D49" s="385">
        <v>0</v>
      </c>
    </row>
    <row r="50" spans="1:4">
      <c r="A50" s="408" t="s">
        <v>49</v>
      </c>
      <c r="B50" s="388" t="s">
        <v>858</v>
      </c>
      <c r="C50" s="390"/>
      <c r="D50" s="385">
        <v>0</v>
      </c>
    </row>
    <row r="51" spans="1:4">
      <c r="A51" s="408" t="s">
        <v>50</v>
      </c>
      <c r="B51" s="388" t="s">
        <v>852</v>
      </c>
      <c r="C51" s="390"/>
      <c r="D51" s="385">
        <v>0</v>
      </c>
    </row>
    <row r="52" spans="1:4">
      <c r="A52" s="408" t="s">
        <v>51</v>
      </c>
      <c r="B52" s="388" t="s">
        <v>859</v>
      </c>
      <c r="C52" s="390"/>
      <c r="D52" s="385"/>
    </row>
    <row r="53" spans="1:4">
      <c r="A53" s="408" t="s">
        <v>52</v>
      </c>
      <c r="B53" s="388" t="s">
        <v>669</v>
      </c>
      <c r="C53" s="390">
        <v>2847235881.5999999</v>
      </c>
      <c r="D53" s="385">
        <v>2847235881.5999999</v>
      </c>
    </row>
    <row r="54" spans="1:4">
      <c r="A54" s="408" t="s">
        <v>860</v>
      </c>
      <c r="B54" s="388"/>
      <c r="C54" s="390"/>
      <c r="D54" s="385">
        <v>0</v>
      </c>
    </row>
    <row r="55" spans="1:4" ht="15">
      <c r="A55" s="408" t="s">
        <v>53</v>
      </c>
      <c r="B55" s="383" t="s">
        <v>861</v>
      </c>
      <c r="C55" s="411">
        <f>SUM(C50:C54)</f>
        <v>2847235881.5999999</v>
      </c>
      <c r="D55" s="411">
        <f>SUM(D50:D54)</f>
        <v>2847235881.5999999</v>
      </c>
    </row>
    <row r="56" spans="1:4" ht="15">
      <c r="A56" s="386" t="s">
        <v>862</v>
      </c>
      <c r="B56" s="396" t="s">
        <v>863</v>
      </c>
      <c r="C56" s="411">
        <f>+C55+C48</f>
        <v>3018747434.3299999</v>
      </c>
      <c r="D56" s="411">
        <f>+D55+D48</f>
        <v>3358923608.4508247</v>
      </c>
    </row>
    <row r="57" spans="1:4" ht="15">
      <c r="A57" s="387">
        <v>2.2999999999999998</v>
      </c>
      <c r="B57" s="383" t="s">
        <v>864</v>
      </c>
      <c r="C57" s="412"/>
      <c r="D57" s="385">
        <v>0</v>
      </c>
    </row>
    <row r="58" spans="1:4">
      <c r="A58" s="408" t="s">
        <v>54</v>
      </c>
      <c r="B58" s="388" t="s">
        <v>865</v>
      </c>
      <c r="C58" s="390"/>
      <c r="D58" s="385">
        <v>0</v>
      </c>
    </row>
    <row r="59" spans="1:4">
      <c r="A59" s="408" t="s">
        <v>55</v>
      </c>
      <c r="B59" s="388" t="s">
        <v>670</v>
      </c>
      <c r="C59" s="390">
        <v>1373575194</v>
      </c>
      <c r="D59" s="385">
        <v>1373575194</v>
      </c>
    </row>
    <row r="60" spans="1:4">
      <c r="A60" s="408" t="s">
        <v>56</v>
      </c>
      <c r="B60" s="388" t="s">
        <v>866</v>
      </c>
      <c r="C60" s="390"/>
      <c r="D60" s="385"/>
    </row>
    <row r="61" spans="1:4">
      <c r="A61" s="408" t="s">
        <v>57</v>
      </c>
      <c r="B61" s="407" t="s">
        <v>89</v>
      </c>
      <c r="C61" s="390">
        <v>3269700</v>
      </c>
      <c r="D61" s="385">
        <v>3269700</v>
      </c>
    </row>
    <row r="62" spans="1:4">
      <c r="A62" s="408" t="s">
        <v>58</v>
      </c>
      <c r="B62" s="388" t="s">
        <v>90</v>
      </c>
      <c r="C62" s="390"/>
      <c r="D62" s="385"/>
    </row>
    <row r="63" spans="1:4">
      <c r="A63" s="408" t="s">
        <v>59</v>
      </c>
      <c r="B63" s="388" t="s">
        <v>91</v>
      </c>
      <c r="C63" s="390"/>
      <c r="D63" s="385"/>
    </row>
    <row r="64" spans="1:4">
      <c r="A64" s="408" t="s">
        <v>60</v>
      </c>
      <c r="B64" s="388" t="s">
        <v>867</v>
      </c>
      <c r="C64" s="390"/>
      <c r="D64" s="385"/>
    </row>
    <row r="65" spans="1:4">
      <c r="A65" s="408" t="s">
        <v>61</v>
      </c>
      <c r="B65" s="388" t="s">
        <v>93</v>
      </c>
      <c r="C65" s="390">
        <v>1029200</v>
      </c>
      <c r="D65" s="385">
        <v>1029200</v>
      </c>
    </row>
    <row r="66" spans="1:4">
      <c r="A66" s="408" t="s">
        <v>62</v>
      </c>
      <c r="B66" s="388" t="s">
        <v>868</v>
      </c>
      <c r="C66" s="412">
        <v>-182605116.34700099</v>
      </c>
      <c r="D66" s="385">
        <v>-199509587.63863039</v>
      </c>
    </row>
    <row r="67" spans="1:4">
      <c r="A67" s="408" t="s">
        <v>869</v>
      </c>
      <c r="B67" s="393"/>
      <c r="C67" s="390"/>
      <c r="D67" s="385"/>
    </row>
    <row r="68" spans="1:4" ht="15">
      <c r="A68" s="408" t="s">
        <v>63</v>
      </c>
      <c r="B68" s="396" t="s">
        <v>870</v>
      </c>
      <c r="C68" s="411">
        <f>SUM(C58:C67)</f>
        <v>1195268977.6529989</v>
      </c>
      <c r="D68" s="411">
        <f>SUM(D58:D67)</f>
        <v>1178364506.3613696</v>
      </c>
    </row>
    <row r="69" spans="1:4" ht="19.899999999999999" customHeight="1">
      <c r="A69" s="397">
        <v>2.4</v>
      </c>
      <c r="B69" s="413" t="s">
        <v>871</v>
      </c>
      <c r="C69" s="414">
        <f>+C56+C68</f>
        <v>4214016411.9829988</v>
      </c>
      <c r="D69" s="414">
        <f>+D56+D68</f>
        <v>4537288114.8121948</v>
      </c>
    </row>
    <row r="70" spans="1:4" hidden="1">
      <c r="A70" s="415"/>
      <c r="C70" s="416">
        <f>+C32-C69</f>
        <v>-2.9988288879394531E-3</v>
      </c>
      <c r="D70" s="375">
        <v>-2.4442672729492188E-3</v>
      </c>
    </row>
    <row r="71" spans="1:4">
      <c r="B71" s="417"/>
      <c r="C71" s="418">
        <f>+C69-C32</f>
        <v>2.9988288879394531E-3</v>
      </c>
      <c r="D71" s="418">
        <f>+D69-D32</f>
        <v>1.0709762573242188E-3</v>
      </c>
    </row>
    <row r="72" spans="1:4">
      <c r="B72" s="417"/>
      <c r="C72" s="418"/>
      <c r="D72" s="375"/>
    </row>
    <row r="73" spans="1:4">
      <c r="B73" s="417"/>
      <c r="C73" s="418"/>
      <c r="D73" s="375"/>
    </row>
    <row r="74" spans="1:4">
      <c r="B74" s="372" t="s">
        <v>872</v>
      </c>
      <c r="C74" s="372" t="s">
        <v>638</v>
      </c>
    </row>
    <row r="76" spans="1:4" ht="15">
      <c r="B76" s="419" t="s">
        <v>873</v>
      </c>
      <c r="C76" s="420" t="s">
        <v>639</v>
      </c>
    </row>
    <row r="78" spans="1:4">
      <c r="D78" s="375"/>
    </row>
    <row r="79" spans="1:4">
      <c r="A79" s="717"/>
      <c r="B79" s="717"/>
      <c r="C79" s="717"/>
      <c r="D79" s="717"/>
    </row>
    <row r="80" spans="1:4">
      <c r="C80" s="418"/>
      <c r="D80" s="422"/>
    </row>
    <row r="81" spans="2:238">
      <c r="C81" s="418"/>
      <c r="D81" s="375"/>
    </row>
    <row r="82" spans="2:238">
      <c r="B82" s="421"/>
      <c r="C82" s="418"/>
      <c r="D82" s="375"/>
    </row>
    <row r="83" spans="2:238">
      <c r="B83" s="421"/>
      <c r="C83" s="418"/>
      <c r="D83" s="375"/>
    </row>
    <row r="84" spans="2:238">
      <c r="B84" s="421"/>
      <c r="D84" s="375"/>
    </row>
    <row r="85" spans="2:238">
      <c r="C85" s="418"/>
      <c r="D85" s="375"/>
    </row>
    <row r="86" spans="2:238" ht="15">
      <c r="B86" s="374"/>
      <c r="C86" s="418"/>
      <c r="D86" s="423"/>
    </row>
    <row r="87" spans="2:238" ht="15">
      <c r="B87" s="374"/>
      <c r="C87" s="418"/>
      <c r="D87" s="423"/>
    </row>
    <row r="93" spans="2:238" ht="15">
      <c r="C93" s="374"/>
    </row>
    <row r="94" spans="2:238">
      <c r="E94" s="424"/>
      <c r="F94" s="424"/>
      <c r="G94" s="424"/>
      <c r="H94" s="424"/>
      <c r="I94" s="424"/>
      <c r="J94" s="424"/>
      <c r="K94" s="424"/>
      <c r="L94" s="424"/>
      <c r="M94" s="424"/>
      <c r="N94" s="424"/>
      <c r="O94" s="424"/>
      <c r="P94" s="424"/>
      <c r="Q94" s="424"/>
      <c r="R94" s="424"/>
      <c r="S94" s="424"/>
      <c r="T94" s="424"/>
      <c r="U94" s="424"/>
      <c r="V94" s="424"/>
      <c r="W94" s="424"/>
      <c r="X94" s="424"/>
      <c r="Y94" s="424"/>
      <c r="Z94" s="424"/>
      <c r="AA94" s="424"/>
      <c r="AB94" s="424"/>
      <c r="AC94" s="424"/>
      <c r="AD94" s="424"/>
      <c r="AE94" s="424"/>
      <c r="AF94" s="424"/>
      <c r="AG94" s="424"/>
      <c r="AH94" s="424"/>
      <c r="AI94" s="424"/>
      <c r="AJ94" s="424"/>
      <c r="AK94" s="424"/>
      <c r="AL94" s="424"/>
      <c r="AM94" s="424"/>
      <c r="AN94" s="424"/>
      <c r="AO94" s="424"/>
      <c r="AP94" s="424"/>
      <c r="AQ94" s="424"/>
      <c r="AR94" s="424"/>
      <c r="AS94" s="424"/>
      <c r="AT94" s="424"/>
      <c r="AU94" s="424"/>
      <c r="AV94" s="424"/>
      <c r="AW94" s="424"/>
      <c r="AX94" s="424"/>
      <c r="AY94" s="424"/>
      <c r="AZ94" s="424"/>
      <c r="BA94" s="424"/>
      <c r="BB94" s="424"/>
      <c r="BC94" s="424"/>
      <c r="BD94" s="424"/>
      <c r="BE94" s="424"/>
      <c r="BF94" s="424"/>
      <c r="BG94" s="424"/>
      <c r="BH94" s="424"/>
      <c r="BI94" s="424"/>
      <c r="BJ94" s="424"/>
      <c r="BK94" s="424"/>
      <c r="BL94" s="424"/>
      <c r="BM94" s="424"/>
      <c r="BN94" s="424"/>
      <c r="BO94" s="424"/>
      <c r="BP94" s="424"/>
      <c r="BQ94" s="424"/>
      <c r="BR94" s="424"/>
      <c r="BS94" s="424"/>
      <c r="BT94" s="424"/>
      <c r="BU94" s="424"/>
      <c r="BV94" s="424"/>
      <c r="BW94" s="424"/>
      <c r="BX94" s="424"/>
      <c r="BY94" s="424"/>
      <c r="BZ94" s="424"/>
      <c r="CA94" s="424"/>
      <c r="CB94" s="424"/>
      <c r="CC94" s="424"/>
      <c r="CD94" s="424"/>
      <c r="CE94" s="424"/>
      <c r="CF94" s="424"/>
      <c r="CG94" s="424"/>
      <c r="CH94" s="424"/>
      <c r="CI94" s="424"/>
      <c r="CJ94" s="424"/>
      <c r="CK94" s="424"/>
      <c r="CL94" s="424"/>
      <c r="CM94" s="424"/>
      <c r="CN94" s="424"/>
      <c r="CO94" s="424"/>
      <c r="CP94" s="424"/>
      <c r="CQ94" s="424"/>
      <c r="CR94" s="424"/>
      <c r="CS94" s="424"/>
      <c r="CT94" s="424"/>
      <c r="CU94" s="424"/>
      <c r="CV94" s="424"/>
      <c r="CW94" s="424"/>
      <c r="CX94" s="424"/>
      <c r="CY94" s="424"/>
      <c r="CZ94" s="424"/>
      <c r="DA94" s="424"/>
      <c r="DB94" s="424"/>
      <c r="DC94" s="424"/>
      <c r="DD94" s="424"/>
      <c r="DE94" s="424"/>
      <c r="DF94" s="424"/>
      <c r="DG94" s="424"/>
      <c r="DH94" s="424"/>
      <c r="DI94" s="424"/>
      <c r="DJ94" s="424"/>
      <c r="DK94" s="424"/>
      <c r="DL94" s="424"/>
      <c r="DM94" s="424"/>
      <c r="DN94" s="424"/>
      <c r="DO94" s="424"/>
      <c r="DP94" s="424"/>
      <c r="DQ94" s="424"/>
      <c r="DR94" s="424"/>
      <c r="DS94" s="424"/>
      <c r="DT94" s="424"/>
      <c r="DU94" s="424"/>
      <c r="DV94" s="424"/>
      <c r="DW94" s="424"/>
      <c r="DX94" s="424"/>
      <c r="DY94" s="424"/>
      <c r="DZ94" s="424"/>
      <c r="EA94" s="424"/>
      <c r="EB94" s="424"/>
      <c r="EC94" s="424"/>
      <c r="ED94" s="424"/>
      <c r="EE94" s="424"/>
      <c r="EF94" s="424"/>
      <c r="EG94" s="424"/>
      <c r="EH94" s="424"/>
      <c r="EI94" s="424"/>
      <c r="EJ94" s="424"/>
      <c r="EK94" s="424"/>
      <c r="EL94" s="424"/>
      <c r="EM94" s="424"/>
      <c r="EN94" s="424"/>
      <c r="EO94" s="424"/>
      <c r="EP94" s="424"/>
      <c r="EQ94" s="424"/>
      <c r="ER94" s="424"/>
      <c r="ES94" s="424"/>
      <c r="ET94" s="424"/>
      <c r="EU94" s="424"/>
      <c r="EV94" s="424"/>
      <c r="EW94" s="424"/>
      <c r="EX94" s="424"/>
      <c r="EY94" s="424"/>
      <c r="EZ94" s="424"/>
      <c r="FA94" s="424"/>
      <c r="FB94" s="424"/>
      <c r="FC94" s="424"/>
      <c r="FD94" s="424"/>
      <c r="FE94" s="424"/>
      <c r="FF94" s="424"/>
      <c r="FG94" s="424"/>
      <c r="FH94" s="424"/>
      <c r="FI94" s="424"/>
      <c r="FJ94" s="424"/>
      <c r="FK94" s="424"/>
      <c r="FL94" s="424"/>
      <c r="FM94" s="424"/>
      <c r="FN94" s="424"/>
      <c r="FO94" s="424"/>
      <c r="FP94" s="424"/>
      <c r="FQ94" s="424"/>
      <c r="FR94" s="424"/>
      <c r="FS94" s="424"/>
      <c r="FT94" s="424"/>
      <c r="FU94" s="424"/>
      <c r="FV94" s="424"/>
      <c r="FW94" s="424"/>
      <c r="FX94" s="424"/>
      <c r="FY94" s="424"/>
      <c r="FZ94" s="424"/>
      <c r="GA94" s="424"/>
      <c r="GB94" s="424"/>
      <c r="GC94" s="424"/>
      <c r="GD94" s="424"/>
      <c r="GE94" s="424"/>
      <c r="GF94" s="424"/>
      <c r="GG94" s="424"/>
      <c r="GH94" s="424"/>
      <c r="GI94" s="424"/>
      <c r="GJ94" s="424"/>
      <c r="GK94" s="424"/>
      <c r="GL94" s="424"/>
      <c r="GM94" s="424"/>
      <c r="GN94" s="424"/>
      <c r="GO94" s="424"/>
      <c r="GP94" s="424"/>
      <c r="GQ94" s="424"/>
      <c r="GR94" s="424"/>
      <c r="GS94" s="424"/>
      <c r="GT94" s="424"/>
      <c r="GU94" s="424"/>
      <c r="GV94" s="424"/>
      <c r="GW94" s="424"/>
      <c r="GX94" s="424"/>
      <c r="GY94" s="424"/>
      <c r="GZ94" s="424"/>
      <c r="HA94" s="424"/>
      <c r="HB94" s="424"/>
      <c r="HC94" s="424"/>
      <c r="HD94" s="424"/>
      <c r="HE94" s="424"/>
      <c r="HF94" s="424"/>
      <c r="HG94" s="424"/>
      <c r="HH94" s="424"/>
      <c r="HI94" s="424"/>
      <c r="HJ94" s="424"/>
      <c r="HK94" s="424"/>
      <c r="HL94" s="424"/>
      <c r="HM94" s="424"/>
      <c r="HN94" s="424"/>
      <c r="HO94" s="424"/>
      <c r="HP94" s="424"/>
      <c r="HQ94" s="424"/>
      <c r="HR94" s="424"/>
      <c r="HS94" s="424"/>
      <c r="HT94" s="424"/>
      <c r="HU94" s="424"/>
      <c r="HV94" s="424"/>
      <c r="HW94" s="424"/>
      <c r="HX94" s="424"/>
      <c r="HY94" s="424"/>
      <c r="HZ94" s="424"/>
      <c r="IA94" s="424"/>
      <c r="IB94" s="424"/>
      <c r="IC94" s="424"/>
      <c r="ID94" s="424"/>
    </row>
  </sheetData>
  <mergeCells count="5">
    <mergeCell ref="B2:C2"/>
    <mergeCell ref="A6:A7"/>
    <mergeCell ref="B6:B7"/>
    <mergeCell ref="C6:D6"/>
    <mergeCell ref="A79:D79"/>
  </mergeCells>
  <pageMargins left="0.51" right="0.17" top="0.19" bottom="0.17" header="0.27"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729E8-6628-40B3-BE87-912F7B828BD1}">
  <dimension ref="A1:G45"/>
  <sheetViews>
    <sheetView workbookViewId="0">
      <selection activeCell="D20" sqref="D20"/>
    </sheetView>
  </sheetViews>
  <sheetFormatPr defaultColWidth="9.140625" defaultRowHeight="15"/>
  <cols>
    <col min="1" max="1" width="9.140625" style="461"/>
    <col min="2" max="2" width="50.7109375" style="154" customWidth="1"/>
    <col min="3" max="3" width="17.7109375" style="154" customWidth="1"/>
    <col min="4" max="4" width="17.5703125" style="429" customWidth="1"/>
    <col min="5" max="6" width="26.140625" style="154" customWidth="1"/>
    <col min="7" max="7" width="17.85546875" style="154" bestFit="1" customWidth="1"/>
    <col min="8" max="16384" width="9.140625" style="154"/>
  </cols>
  <sheetData>
    <row r="1" spans="1:5">
      <c r="A1" s="425"/>
      <c r="B1" s="426"/>
      <c r="C1" s="426"/>
      <c r="D1" s="427"/>
    </row>
    <row r="2" spans="1:5" ht="15.75">
      <c r="A2" s="425"/>
      <c r="B2" s="428" t="s">
        <v>874</v>
      </c>
      <c r="C2" s="428"/>
    </row>
    <row r="3" spans="1:5">
      <c r="A3" s="425"/>
      <c r="B3" s="430"/>
      <c r="C3" s="430"/>
      <c r="D3" s="431"/>
      <c r="E3" s="432"/>
    </row>
    <row r="4" spans="1:5" ht="15.75">
      <c r="A4" s="718" t="str">
        <f>+'[5]25.II ST-1'!A3</f>
        <v>"ЖИДАКС" ХК</v>
      </c>
      <c r="B4" s="718"/>
      <c r="C4" s="543"/>
      <c r="D4" s="467" t="s">
        <v>960</v>
      </c>
    </row>
    <row r="5" spans="1:5">
      <c r="A5" s="433"/>
      <c r="B5" s="434"/>
      <c r="C5" s="434"/>
      <c r="D5" s="435"/>
    </row>
    <row r="6" spans="1:5">
      <c r="A6" s="433"/>
      <c r="B6" s="434"/>
      <c r="C6" s="434"/>
      <c r="D6" s="436"/>
    </row>
    <row r="7" spans="1:5" ht="12.75" customHeight="1">
      <c r="A7" s="719" t="s">
        <v>16</v>
      </c>
      <c r="B7" s="720" t="s">
        <v>65</v>
      </c>
      <c r="C7" s="721" t="s">
        <v>997</v>
      </c>
      <c r="D7" s="721" t="s">
        <v>996</v>
      </c>
    </row>
    <row r="8" spans="1:5" ht="36" customHeight="1">
      <c r="A8" s="719"/>
      <c r="B8" s="720"/>
      <c r="C8" s="721"/>
      <c r="D8" s="721"/>
    </row>
    <row r="9" spans="1:5" ht="15" customHeight="1">
      <c r="A9" s="437">
        <v>1</v>
      </c>
      <c r="B9" s="438" t="s">
        <v>66</v>
      </c>
      <c r="C9" s="439">
        <v>127484565.65000001</v>
      </c>
      <c r="D9" s="439">
        <v>263656363.66</v>
      </c>
      <c r="E9" s="440"/>
    </row>
    <row r="10" spans="1:5" ht="15" customHeight="1">
      <c r="A10" s="441">
        <v>2</v>
      </c>
      <c r="B10" s="442" t="s">
        <v>67</v>
      </c>
      <c r="C10" s="443">
        <v>48257376.619999997</v>
      </c>
      <c r="D10" s="443">
        <v>207380523.75248128</v>
      </c>
      <c r="E10" s="440"/>
    </row>
    <row r="11" spans="1:5" ht="15" customHeight="1">
      <c r="A11" s="444">
        <v>3</v>
      </c>
      <c r="B11" s="445" t="s">
        <v>875</v>
      </c>
      <c r="C11" s="443">
        <v>79227189.030000001</v>
      </c>
      <c r="D11" s="443">
        <f>+D9-D10</f>
        <v>56275839.907518715</v>
      </c>
      <c r="E11" s="440"/>
    </row>
    <row r="12" spans="1:5" ht="15" customHeight="1">
      <c r="A12" s="444">
        <v>4</v>
      </c>
      <c r="B12" s="446" t="s">
        <v>68</v>
      </c>
      <c r="C12" s="443"/>
      <c r="D12" s="443"/>
    </row>
    <row r="13" spans="1:5" ht="15" customHeight="1">
      <c r="A13" s="441">
        <v>5</v>
      </c>
      <c r="B13" s="446" t="s">
        <v>69</v>
      </c>
      <c r="C13" s="443">
        <v>912.76</v>
      </c>
      <c r="D13" s="443"/>
    </row>
    <row r="14" spans="1:5" ht="15" customHeight="1">
      <c r="A14" s="444">
        <v>6</v>
      </c>
      <c r="B14" s="446" t="s">
        <v>876</v>
      </c>
      <c r="C14" s="447"/>
      <c r="D14" s="447"/>
    </row>
    <row r="15" spans="1:5" ht="15" customHeight="1">
      <c r="A15" s="441">
        <v>7</v>
      </c>
      <c r="B15" s="446" t="s">
        <v>70</v>
      </c>
      <c r="C15" s="447"/>
      <c r="D15" s="447"/>
    </row>
    <row r="16" spans="1:5" ht="15" customHeight="1">
      <c r="A16" s="444">
        <v>8</v>
      </c>
      <c r="B16" s="448" t="s">
        <v>71</v>
      </c>
      <c r="C16" s="447"/>
      <c r="D16" s="447"/>
      <c r="E16" s="440"/>
    </row>
    <row r="17" spans="1:7" ht="15" customHeight="1">
      <c r="A17" s="441">
        <v>9</v>
      </c>
      <c r="B17" s="446" t="s">
        <v>877</v>
      </c>
      <c r="C17" s="447"/>
      <c r="D17" s="447"/>
    </row>
    <row r="18" spans="1:7" ht="15" customHeight="1">
      <c r="A18" s="444">
        <v>10</v>
      </c>
      <c r="B18" s="446" t="s">
        <v>72</v>
      </c>
      <c r="C18" s="447">
        <v>67821345.890000001</v>
      </c>
      <c r="D18" s="447">
        <v>72500945.682159096</v>
      </c>
      <c r="E18" s="440"/>
    </row>
    <row r="19" spans="1:7" ht="15" customHeight="1">
      <c r="A19" s="441">
        <v>11</v>
      </c>
      <c r="B19" s="446" t="s">
        <v>73</v>
      </c>
      <c r="C19" s="447"/>
      <c r="D19" s="447"/>
    </row>
    <row r="20" spans="1:7" ht="15" customHeight="1">
      <c r="A20" s="444">
        <v>12</v>
      </c>
      <c r="B20" s="446" t="s">
        <v>11</v>
      </c>
      <c r="C20" s="447">
        <v>365470</v>
      </c>
      <c r="D20" s="447">
        <v>679365.51698908163</v>
      </c>
      <c r="E20" s="440"/>
    </row>
    <row r="21" spans="1:7" ht="15" customHeight="1">
      <c r="A21" s="441">
        <v>13</v>
      </c>
      <c r="B21" s="446" t="s">
        <v>878</v>
      </c>
      <c r="C21" s="447">
        <v>-130727.81999999999</v>
      </c>
      <c r="D21" s="447"/>
      <c r="E21" s="440"/>
    </row>
    <row r="22" spans="1:7" ht="15" customHeight="1">
      <c r="A22" s="444">
        <v>14</v>
      </c>
      <c r="B22" s="446" t="s">
        <v>879</v>
      </c>
      <c r="C22" s="447"/>
      <c r="D22" s="447"/>
      <c r="E22" s="440"/>
    </row>
    <row r="23" spans="1:7" ht="15" customHeight="1">
      <c r="A23" s="441">
        <v>15</v>
      </c>
      <c r="B23" s="446" t="s">
        <v>880</v>
      </c>
      <c r="C23" s="447"/>
      <c r="D23" s="447"/>
      <c r="E23" s="440"/>
    </row>
    <row r="24" spans="1:7" ht="15" customHeight="1">
      <c r="A24" s="444">
        <v>16</v>
      </c>
      <c r="B24" s="446" t="s">
        <v>881</v>
      </c>
      <c r="C24" s="447"/>
      <c r="D24" s="447"/>
      <c r="E24" s="440"/>
    </row>
    <row r="25" spans="1:7" ht="15" customHeight="1">
      <c r="A25" s="441">
        <v>17</v>
      </c>
      <c r="B25" s="446" t="s">
        <v>882</v>
      </c>
      <c r="C25" s="447"/>
      <c r="D25" s="447"/>
      <c r="E25" s="440"/>
    </row>
    <row r="26" spans="1:7" ht="15" customHeight="1">
      <c r="A26" s="444">
        <v>18</v>
      </c>
      <c r="B26" s="445" t="s">
        <v>883</v>
      </c>
      <c r="C26" s="449">
        <v>10910558.080000006</v>
      </c>
      <c r="D26" s="449">
        <f>D11+SUM(D12:D16)-SUM(D17:D20)+SUM(D21:D25)</f>
        <v>-16904471.291629463</v>
      </c>
      <c r="E26" s="440"/>
    </row>
    <row r="27" spans="1:7" ht="15" customHeight="1">
      <c r="A27" s="441">
        <v>19</v>
      </c>
      <c r="B27" s="446" t="s">
        <v>884</v>
      </c>
      <c r="C27" s="439">
        <v>91.28</v>
      </c>
      <c r="D27" s="450"/>
      <c r="E27" s="440"/>
    </row>
    <row r="28" spans="1:7" ht="15" customHeight="1">
      <c r="A28" s="444">
        <v>20</v>
      </c>
      <c r="B28" s="445" t="s">
        <v>885</v>
      </c>
      <c r="C28" s="449">
        <v>10910466.800000006</v>
      </c>
      <c r="D28" s="449">
        <f>D26-D27</f>
        <v>-16904471.291629463</v>
      </c>
      <c r="E28" s="440"/>
      <c r="G28" s="451"/>
    </row>
    <row r="29" spans="1:7" ht="15" customHeight="1">
      <c r="A29" s="441">
        <v>21</v>
      </c>
      <c r="B29" s="445" t="s">
        <v>886</v>
      </c>
      <c r="C29" s="447"/>
      <c r="D29" s="447"/>
      <c r="E29" s="440"/>
      <c r="G29" s="452"/>
    </row>
    <row r="30" spans="1:7" ht="15" customHeight="1">
      <c r="A30" s="444">
        <v>22</v>
      </c>
      <c r="B30" s="453" t="s">
        <v>887</v>
      </c>
      <c r="C30" s="449">
        <v>10910466.800000006</v>
      </c>
      <c r="D30" s="449">
        <f>D28+D29</f>
        <v>-16904471.291629463</v>
      </c>
      <c r="E30" s="440"/>
    </row>
    <row r="31" spans="1:7" ht="15" customHeight="1">
      <c r="A31" s="441">
        <v>23</v>
      </c>
      <c r="B31" s="445" t="s">
        <v>75</v>
      </c>
      <c r="C31" s="447">
        <v>0</v>
      </c>
      <c r="D31" s="447">
        <f>SUM(D32:D34)</f>
        <v>0</v>
      </c>
      <c r="E31" s="440"/>
    </row>
    <row r="32" spans="1:7" ht="15" customHeight="1">
      <c r="A32" s="444"/>
      <c r="B32" s="446" t="s">
        <v>76</v>
      </c>
      <c r="C32" s="447"/>
      <c r="D32" s="447"/>
      <c r="E32" s="440"/>
    </row>
    <row r="33" spans="1:4" ht="15" customHeight="1">
      <c r="A33" s="437"/>
      <c r="B33" s="454" t="s">
        <v>888</v>
      </c>
      <c r="C33" s="447"/>
      <c r="D33" s="447"/>
    </row>
    <row r="34" spans="1:4" ht="16.5" customHeight="1">
      <c r="A34" s="441"/>
      <c r="B34" s="454" t="s">
        <v>889</v>
      </c>
      <c r="C34" s="447"/>
      <c r="D34" s="447"/>
    </row>
    <row r="35" spans="1:4" ht="15" customHeight="1">
      <c r="A35" s="437">
        <v>24</v>
      </c>
      <c r="B35" s="455" t="s">
        <v>77</v>
      </c>
      <c r="C35" s="449">
        <v>10910466.800000006</v>
      </c>
      <c r="D35" s="449">
        <f>D30+D31</f>
        <v>-16904471.291629463</v>
      </c>
    </row>
    <row r="36" spans="1:4">
      <c r="A36" s="437">
        <v>25</v>
      </c>
      <c r="B36" s="455" t="s">
        <v>890</v>
      </c>
      <c r="C36" s="447"/>
      <c r="D36" s="447"/>
    </row>
    <row r="37" spans="1:4">
      <c r="A37" s="456"/>
      <c r="B37" s="457"/>
      <c r="C37" s="457"/>
      <c r="D37" s="457"/>
    </row>
    <row r="38" spans="1:4">
      <c r="A38" s="456"/>
      <c r="B38" s="457"/>
      <c r="C38" s="457"/>
      <c r="D38" s="457"/>
    </row>
    <row r="39" spans="1:4">
      <c r="A39" s="456"/>
      <c r="B39" s="457"/>
      <c r="C39" s="457"/>
      <c r="D39" s="457"/>
    </row>
    <row r="40" spans="1:4">
      <c r="A40" s="458"/>
      <c r="B40" s="372" t="s">
        <v>872</v>
      </c>
      <c r="C40" s="372"/>
      <c r="D40" s="372" t="s">
        <v>638</v>
      </c>
    </row>
    <row r="41" spans="1:4">
      <c r="A41" s="458"/>
      <c r="B41" s="372"/>
      <c r="C41" s="372"/>
      <c r="D41" s="372"/>
    </row>
    <row r="42" spans="1:4">
      <c r="A42" s="458"/>
      <c r="B42" s="419" t="s">
        <v>873</v>
      </c>
      <c r="C42" s="419"/>
      <c r="D42" s="372" t="s">
        <v>639</v>
      </c>
    </row>
    <row r="43" spans="1:4" ht="15.75">
      <c r="A43" s="458"/>
      <c r="B43" s="459"/>
      <c r="C43" s="459"/>
      <c r="D43" s="431"/>
    </row>
    <row r="44" spans="1:4">
      <c r="A44" s="722"/>
      <c r="B44" s="722"/>
      <c r="C44" s="722"/>
      <c r="D44" s="722"/>
    </row>
    <row r="45" spans="1:4">
      <c r="A45" s="458"/>
      <c r="B45" s="460"/>
      <c r="C45" s="460"/>
    </row>
  </sheetData>
  <mergeCells count="6">
    <mergeCell ref="A4:B4"/>
    <mergeCell ref="A7:A8"/>
    <mergeCell ref="B7:B8"/>
    <mergeCell ref="D7:D8"/>
    <mergeCell ref="A44:D44"/>
    <mergeCell ref="C7:C8"/>
  </mergeCells>
  <pageMargins left="0.32" right="0.1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0272-606A-4C68-9F1D-3352E816F265}">
  <sheetPr>
    <pageSetUpPr fitToPage="1"/>
  </sheetPr>
  <dimension ref="A1:L32"/>
  <sheetViews>
    <sheetView topLeftCell="A7" zoomScale="90" zoomScaleNormal="90" workbookViewId="0">
      <selection activeCell="J19" sqref="J19"/>
    </sheetView>
  </sheetViews>
  <sheetFormatPr defaultColWidth="9.140625" defaultRowHeight="15.75"/>
  <cols>
    <col min="1" max="1" width="8.7109375" style="463" customWidth="1"/>
    <col min="2" max="2" width="37.5703125" style="463" customWidth="1"/>
    <col min="3" max="3" width="17.7109375" style="463" hidden="1" customWidth="1"/>
    <col min="4" max="4" width="19.28515625" style="463" customWidth="1"/>
    <col min="5" max="5" width="17.42578125" style="463" customWidth="1"/>
    <col min="6" max="6" width="16.7109375" style="463" customWidth="1"/>
    <col min="7" max="7" width="18.140625" style="463" customWidth="1"/>
    <col min="8" max="9" width="20.7109375" style="463" customWidth="1"/>
    <col min="10" max="10" width="18.140625" style="463" customWidth="1"/>
    <col min="11" max="11" width="21.42578125" style="463" customWidth="1"/>
    <col min="12" max="12" width="16.5703125" style="463" customWidth="1"/>
    <col min="13" max="16384" width="9.140625" style="463"/>
  </cols>
  <sheetData>
    <row r="1" spans="1:12" ht="13.15" customHeight="1">
      <c r="A1" s="462" t="s">
        <v>822</v>
      </c>
      <c r="J1" s="464"/>
      <c r="L1" s="465"/>
    </row>
    <row r="2" spans="1:12" ht="17.45" customHeight="1">
      <c r="K2" s="465"/>
      <c r="L2" s="465"/>
    </row>
    <row r="3" spans="1:12" ht="13.15" customHeight="1">
      <c r="A3" s="724" t="s">
        <v>891</v>
      </c>
      <c r="B3" s="724"/>
      <c r="C3" s="724"/>
      <c r="D3" s="724"/>
      <c r="E3" s="724"/>
      <c r="F3" s="724"/>
      <c r="G3" s="724"/>
      <c r="H3" s="724"/>
      <c r="I3" s="724"/>
      <c r="J3" s="724"/>
      <c r="K3" s="724"/>
      <c r="L3" s="428"/>
    </row>
    <row r="4" spans="1:12">
      <c r="A4" s="725"/>
      <c r="B4" s="725"/>
      <c r="C4" s="466"/>
      <c r="K4" s="467" t="s">
        <v>960</v>
      </c>
      <c r="L4" s="467"/>
    </row>
    <row r="5" spans="1:12" ht="13.15" customHeight="1">
      <c r="B5" s="462"/>
      <c r="C5" s="462"/>
      <c r="D5" s="462"/>
      <c r="E5" s="468"/>
      <c r="G5" s="469"/>
      <c r="J5" s="470"/>
    </row>
    <row r="6" spans="1:12" ht="25.9" customHeight="1">
      <c r="K6" s="471" t="s">
        <v>64</v>
      </c>
      <c r="L6" s="471"/>
    </row>
    <row r="7" spans="1:12" ht="43.15" customHeight="1">
      <c r="A7" s="472" t="s">
        <v>16</v>
      </c>
      <c r="B7" s="472" t="s">
        <v>892</v>
      </c>
      <c r="C7" s="472"/>
      <c r="D7" s="473" t="s">
        <v>893</v>
      </c>
      <c r="E7" s="473" t="s">
        <v>89</v>
      </c>
      <c r="F7" s="473" t="s">
        <v>894</v>
      </c>
      <c r="G7" s="473" t="s">
        <v>895</v>
      </c>
      <c r="H7" s="473" t="s">
        <v>92</v>
      </c>
      <c r="I7" s="473" t="s">
        <v>93</v>
      </c>
      <c r="J7" s="473" t="s">
        <v>94</v>
      </c>
      <c r="K7" s="473" t="s">
        <v>95</v>
      </c>
      <c r="L7" s="474"/>
    </row>
    <row r="8" spans="1:12" s="482" customFormat="1" ht="22.15" customHeight="1">
      <c r="A8" s="636">
        <v>1</v>
      </c>
      <c r="B8" s="475" t="s">
        <v>896</v>
      </c>
      <c r="C8" s="475" t="s">
        <v>897</v>
      </c>
      <c r="D8" s="637">
        <v>1373575194</v>
      </c>
      <c r="E8" s="637">
        <v>3269700</v>
      </c>
      <c r="F8" s="638">
        <v>0</v>
      </c>
      <c r="G8" s="638">
        <v>0</v>
      </c>
      <c r="H8" s="638">
        <v>0</v>
      </c>
      <c r="I8" s="638">
        <v>1029200</v>
      </c>
      <c r="J8" s="638">
        <v>-193515583.15000001</v>
      </c>
      <c r="K8" s="639">
        <f>+D8+E8+I8+J8</f>
        <v>1184358510.8499999</v>
      </c>
      <c r="L8" s="640"/>
    </row>
    <row r="9" spans="1:12" s="482" customFormat="1" ht="22.15" customHeight="1">
      <c r="A9" s="472">
        <f t="shared" ref="A9:A24" si="0">A8+1</f>
        <v>2</v>
      </c>
      <c r="B9" s="476" t="s">
        <v>898</v>
      </c>
      <c r="C9" s="476" t="s">
        <v>899</v>
      </c>
      <c r="D9" s="638"/>
      <c r="E9" s="638"/>
      <c r="F9" s="638"/>
      <c r="G9" s="638"/>
      <c r="H9" s="638"/>
      <c r="I9" s="638"/>
      <c r="J9" s="638"/>
      <c r="K9" s="638">
        <f>+J9</f>
        <v>0</v>
      </c>
      <c r="L9" s="640"/>
    </row>
    <row r="10" spans="1:12" s="482" customFormat="1" ht="22.15" customHeight="1">
      <c r="A10" s="636">
        <f t="shared" si="0"/>
        <v>3</v>
      </c>
      <c r="B10" s="641" t="s">
        <v>96</v>
      </c>
      <c r="C10" s="475" t="s">
        <v>900</v>
      </c>
      <c r="D10" s="637"/>
      <c r="E10" s="637"/>
      <c r="F10" s="637"/>
      <c r="G10" s="637"/>
      <c r="H10" s="637"/>
      <c r="I10" s="637"/>
      <c r="J10" s="637"/>
      <c r="K10" s="638">
        <f t="shared" ref="K10:K15" si="1">+J10</f>
        <v>0</v>
      </c>
      <c r="L10" s="640"/>
    </row>
    <row r="11" spans="1:12" s="482" customFormat="1" ht="22.15" customHeight="1">
      <c r="A11" s="472">
        <f t="shared" si="0"/>
        <v>4</v>
      </c>
      <c r="B11" s="477" t="s">
        <v>74</v>
      </c>
      <c r="C11" s="476" t="s">
        <v>901</v>
      </c>
      <c r="D11" s="638"/>
      <c r="E11" s="638"/>
      <c r="F11" s="638"/>
      <c r="G11" s="638"/>
      <c r="H11" s="638"/>
      <c r="I11" s="638"/>
      <c r="J11" s="638">
        <v>10910466.800000006</v>
      </c>
      <c r="K11" s="638">
        <f>+J11</f>
        <v>10910466.800000006</v>
      </c>
      <c r="L11" s="640"/>
    </row>
    <row r="12" spans="1:12" s="482" customFormat="1" ht="22.15" customHeight="1">
      <c r="A12" s="472">
        <f t="shared" si="0"/>
        <v>5</v>
      </c>
      <c r="B12" s="477" t="s">
        <v>75</v>
      </c>
      <c r="C12" s="476" t="s">
        <v>902</v>
      </c>
      <c r="D12" s="638"/>
      <c r="E12" s="638"/>
      <c r="F12" s="638"/>
      <c r="G12" s="638"/>
      <c r="H12" s="638"/>
      <c r="I12" s="638"/>
      <c r="J12" s="638"/>
      <c r="K12" s="638">
        <f t="shared" si="1"/>
        <v>0</v>
      </c>
      <c r="L12" s="640"/>
    </row>
    <row r="13" spans="1:12" s="482" customFormat="1" ht="22.15" customHeight="1">
      <c r="A13" s="472">
        <f t="shared" si="0"/>
        <v>6</v>
      </c>
      <c r="B13" s="477" t="s">
        <v>903</v>
      </c>
      <c r="C13" s="476" t="s">
        <v>904</v>
      </c>
      <c r="D13" s="638"/>
      <c r="E13" s="638"/>
      <c r="F13" s="638">
        <v>0</v>
      </c>
      <c r="G13" s="638"/>
      <c r="H13" s="638"/>
      <c r="I13" s="638"/>
      <c r="J13" s="638"/>
      <c r="K13" s="638">
        <f t="shared" si="1"/>
        <v>0</v>
      </c>
      <c r="L13" s="640"/>
    </row>
    <row r="14" spans="1:12" s="482" customFormat="1" ht="22.15" customHeight="1">
      <c r="A14" s="472">
        <f t="shared" si="0"/>
        <v>7</v>
      </c>
      <c r="B14" s="477" t="s">
        <v>97</v>
      </c>
      <c r="C14" s="476" t="s">
        <v>905</v>
      </c>
      <c r="D14" s="638"/>
      <c r="E14" s="638"/>
      <c r="F14" s="638"/>
      <c r="G14" s="638"/>
      <c r="H14" s="638"/>
      <c r="I14" s="638"/>
      <c r="J14" s="638"/>
      <c r="K14" s="638">
        <f t="shared" si="1"/>
        <v>0</v>
      </c>
      <c r="L14" s="640"/>
    </row>
    <row r="15" spans="1:12" s="482" customFormat="1" ht="30.6" customHeight="1">
      <c r="A15" s="472">
        <f t="shared" si="0"/>
        <v>8</v>
      </c>
      <c r="B15" s="477" t="s">
        <v>906</v>
      </c>
      <c r="C15" s="476" t="s">
        <v>907</v>
      </c>
      <c r="D15" s="638"/>
      <c r="E15" s="638"/>
      <c r="F15" s="638"/>
      <c r="G15" s="638"/>
      <c r="H15" s="638"/>
      <c r="I15" s="638"/>
      <c r="J15" s="638"/>
      <c r="K15" s="638">
        <f t="shared" si="1"/>
        <v>0</v>
      </c>
      <c r="L15" s="640"/>
    </row>
    <row r="16" spans="1:12" s="482" customFormat="1" ht="22.15" customHeight="1">
      <c r="A16" s="636">
        <f t="shared" si="0"/>
        <v>9</v>
      </c>
      <c r="B16" s="478" t="s">
        <v>908</v>
      </c>
      <c r="C16" s="475" t="s">
        <v>909</v>
      </c>
      <c r="D16" s="637">
        <f>SUM(D8:D15)</f>
        <v>1373575194</v>
      </c>
      <c r="E16" s="637">
        <f t="shared" ref="E16:K16" si="2">SUM(E8:E15)</f>
        <v>3269700</v>
      </c>
      <c r="F16" s="637">
        <f t="shared" si="2"/>
        <v>0</v>
      </c>
      <c r="G16" s="637">
        <f t="shared" si="2"/>
        <v>0</v>
      </c>
      <c r="H16" s="637">
        <f t="shared" si="2"/>
        <v>0</v>
      </c>
      <c r="I16" s="637">
        <f t="shared" si="2"/>
        <v>1029200</v>
      </c>
      <c r="J16" s="637">
        <f>SUM(J8:J15)</f>
        <v>-182605116.34999999</v>
      </c>
      <c r="K16" s="637">
        <f t="shared" si="2"/>
        <v>1195268977.6499999</v>
      </c>
      <c r="L16" s="640"/>
    </row>
    <row r="17" spans="1:12" s="482" customFormat="1" ht="22.15" customHeight="1">
      <c r="A17" s="472">
        <f t="shared" si="0"/>
        <v>10</v>
      </c>
      <c r="B17" s="477" t="s">
        <v>898</v>
      </c>
      <c r="C17" s="476" t="s">
        <v>899</v>
      </c>
      <c r="D17" s="638"/>
      <c r="E17" s="638"/>
      <c r="F17" s="638"/>
      <c r="G17" s="638"/>
      <c r="H17" s="638"/>
      <c r="I17" s="638"/>
      <c r="J17" s="638"/>
      <c r="K17" s="637">
        <f>SUM(D17:J17)</f>
        <v>0</v>
      </c>
      <c r="L17" s="640"/>
    </row>
    <row r="18" spans="1:12" s="482" customFormat="1" ht="22.15" customHeight="1">
      <c r="A18" s="636">
        <f t="shared" si="0"/>
        <v>11</v>
      </c>
      <c r="B18" s="478" t="s">
        <v>96</v>
      </c>
      <c r="C18" s="475" t="s">
        <v>900</v>
      </c>
      <c r="D18" s="638"/>
      <c r="E18" s="638"/>
      <c r="F18" s="638"/>
      <c r="G18" s="638"/>
      <c r="H18" s="638"/>
      <c r="I18" s="638"/>
      <c r="J18" s="638"/>
      <c r="K18" s="637">
        <f t="shared" ref="K18:K23" si="3">SUM(D18:J18)</f>
        <v>0</v>
      </c>
      <c r="L18" s="640"/>
    </row>
    <row r="19" spans="1:12" s="482" customFormat="1" ht="22.15" customHeight="1">
      <c r="A19" s="472">
        <f t="shared" si="0"/>
        <v>12</v>
      </c>
      <c r="B19" s="477" t="s">
        <v>910</v>
      </c>
      <c r="C19" s="476" t="s">
        <v>901</v>
      </c>
      <c r="D19" s="638"/>
      <c r="E19" s="638"/>
      <c r="F19" s="638"/>
      <c r="G19" s="638"/>
      <c r="H19" s="638"/>
      <c r="I19" s="638"/>
      <c r="J19" s="642">
        <v>-16904471.291629463</v>
      </c>
      <c r="K19" s="637">
        <f>SUM(D19:J19)</f>
        <v>-16904471.291629463</v>
      </c>
      <c r="L19" s="640"/>
    </row>
    <row r="20" spans="1:12" s="482" customFormat="1" ht="22.15" customHeight="1">
      <c r="A20" s="472">
        <f t="shared" si="0"/>
        <v>13</v>
      </c>
      <c r="B20" s="477" t="s">
        <v>75</v>
      </c>
      <c r="C20" s="476" t="s">
        <v>902</v>
      </c>
      <c r="D20" s="638"/>
      <c r="E20" s="638"/>
      <c r="F20" s="638"/>
      <c r="G20" s="638"/>
      <c r="H20" s="638"/>
      <c r="I20" s="638"/>
      <c r="J20" s="638"/>
      <c r="K20" s="637">
        <f t="shared" si="3"/>
        <v>0</v>
      </c>
      <c r="L20" s="640"/>
    </row>
    <row r="21" spans="1:12" s="482" customFormat="1" ht="22.15" customHeight="1">
      <c r="A21" s="472">
        <f t="shared" si="0"/>
        <v>14</v>
      </c>
      <c r="B21" s="477" t="s">
        <v>903</v>
      </c>
      <c r="C21" s="476" t="s">
        <v>904</v>
      </c>
      <c r="D21" s="638"/>
      <c r="E21" s="638"/>
      <c r="F21" s="638">
        <f>'[6]Balance Sheet'!E64</f>
        <v>0</v>
      </c>
      <c r="G21" s="638"/>
      <c r="H21" s="638"/>
      <c r="I21" s="638"/>
      <c r="J21" s="638"/>
      <c r="K21" s="637">
        <f t="shared" si="3"/>
        <v>0</v>
      </c>
      <c r="L21" s="640"/>
    </row>
    <row r="22" spans="1:12" s="482" customFormat="1" ht="22.15" customHeight="1">
      <c r="A22" s="472">
        <f t="shared" si="0"/>
        <v>15</v>
      </c>
      <c r="B22" s="477" t="s">
        <v>97</v>
      </c>
      <c r="C22" s="476" t="s">
        <v>905</v>
      </c>
      <c r="D22" s="638"/>
      <c r="E22" s="638"/>
      <c r="F22" s="638"/>
      <c r="G22" s="638"/>
      <c r="H22" s="638"/>
      <c r="I22" s="638"/>
      <c r="J22" s="638"/>
      <c r="K22" s="637">
        <f t="shared" si="3"/>
        <v>0</v>
      </c>
      <c r="L22" s="640"/>
    </row>
    <row r="23" spans="1:12" s="482" customFormat="1" ht="39.6" customHeight="1">
      <c r="A23" s="472">
        <f t="shared" si="0"/>
        <v>16</v>
      </c>
      <c r="B23" s="477" t="s">
        <v>906</v>
      </c>
      <c r="C23" s="476" t="s">
        <v>907</v>
      </c>
      <c r="D23" s="638"/>
      <c r="E23" s="638"/>
      <c r="F23" s="638"/>
      <c r="G23" s="638"/>
      <c r="H23" s="638"/>
      <c r="I23" s="638"/>
      <c r="J23" s="638"/>
      <c r="K23" s="637">
        <f t="shared" si="3"/>
        <v>0</v>
      </c>
      <c r="L23" s="640"/>
    </row>
    <row r="24" spans="1:12" s="482" customFormat="1" ht="22.15" customHeight="1">
      <c r="A24" s="636">
        <f t="shared" si="0"/>
        <v>17</v>
      </c>
      <c r="B24" s="479" t="s">
        <v>961</v>
      </c>
      <c r="C24" s="475" t="s">
        <v>911</v>
      </c>
      <c r="D24" s="639">
        <f>SUM(D16:D23)</f>
        <v>1373575194</v>
      </c>
      <c r="E24" s="639">
        <f>SUM(E16:E23)</f>
        <v>3269700</v>
      </c>
      <c r="F24" s="639">
        <f t="shared" ref="F24:I24" si="4">SUM(F16:F23)</f>
        <v>0</v>
      </c>
      <c r="G24" s="639">
        <f t="shared" si="4"/>
        <v>0</v>
      </c>
      <c r="H24" s="639">
        <f t="shared" si="4"/>
        <v>0</v>
      </c>
      <c r="I24" s="639">
        <f t="shared" si="4"/>
        <v>1029200</v>
      </c>
      <c r="J24" s="639">
        <f>SUM(J16:J23)</f>
        <v>-199509587.64162946</v>
      </c>
      <c r="K24" s="639">
        <f>+D24+E24+I24+J24</f>
        <v>1178364506.3583705</v>
      </c>
      <c r="L24" s="643"/>
    </row>
    <row r="25" spans="1:12">
      <c r="A25" s="480"/>
      <c r="B25" s="480"/>
      <c r="D25" s="480"/>
      <c r="E25" s="480"/>
      <c r="F25" s="480"/>
      <c r="G25" s="480"/>
      <c r="H25" s="480"/>
      <c r="I25" s="480"/>
      <c r="J25" s="480"/>
      <c r="K25" s="480">
        <f>+K24-[4]ST1!D68</f>
        <v>-2.9990673065185547E-3</v>
      </c>
      <c r="L25" s="481"/>
    </row>
    <row r="26" spans="1:12">
      <c r="A26" s="480"/>
      <c r="B26" s="480"/>
      <c r="D26" s="480"/>
      <c r="E26" s="480"/>
      <c r="F26" s="480"/>
      <c r="G26" s="480"/>
      <c r="H26" s="480"/>
      <c r="I26" s="480"/>
      <c r="J26" s="480"/>
      <c r="K26" s="480"/>
      <c r="L26" s="481"/>
    </row>
    <row r="27" spans="1:12">
      <c r="C27" s="482"/>
      <c r="D27" s="483" t="s">
        <v>872</v>
      </c>
      <c r="G27" s="483" t="s">
        <v>638</v>
      </c>
      <c r="H27" s="470"/>
      <c r="I27" s="470"/>
      <c r="J27" s="484"/>
      <c r="K27" s="485"/>
    </row>
    <row r="28" spans="1:12">
      <c r="D28" s="483"/>
      <c r="G28" s="483"/>
      <c r="H28" s="484"/>
      <c r="I28" s="484"/>
      <c r="J28" s="469"/>
      <c r="K28" s="470"/>
    </row>
    <row r="29" spans="1:12">
      <c r="C29" s="486"/>
      <c r="D29" s="459" t="s">
        <v>873</v>
      </c>
      <c r="G29" s="483" t="s">
        <v>639</v>
      </c>
      <c r="H29" s="484"/>
      <c r="I29" s="484"/>
      <c r="J29" s="484"/>
      <c r="K29" s="470"/>
    </row>
    <row r="30" spans="1:12">
      <c r="C30" s="486"/>
      <c r="D30" s="459"/>
      <c r="E30" s="459"/>
      <c r="G30" s="469"/>
      <c r="H30" s="484"/>
      <c r="I30" s="484"/>
      <c r="K30" s="470"/>
    </row>
    <row r="32" spans="1:12">
      <c r="A32" s="723"/>
      <c r="B32" s="723"/>
      <c r="C32" s="723"/>
      <c r="D32" s="723"/>
      <c r="E32" s="723"/>
      <c r="F32" s="723"/>
      <c r="G32" s="723"/>
      <c r="H32" s="723"/>
      <c r="I32" s="723"/>
      <c r="J32" s="723"/>
      <c r="K32" s="723"/>
    </row>
  </sheetData>
  <mergeCells count="3">
    <mergeCell ref="A32:K32"/>
    <mergeCell ref="A3:K3"/>
    <mergeCell ref="A4:B4"/>
  </mergeCells>
  <pageMargins left="0.28999999999999998" right="0.18" top="0.75" bottom="0.75" header="0.3" footer="0.3"/>
  <pageSetup paperSize="9" scale="7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825D8-F77D-425A-90DF-C7BFDCA43F88}">
  <sheetPr>
    <pageSetUpPr fitToPage="1"/>
  </sheetPr>
  <dimension ref="A1:F72"/>
  <sheetViews>
    <sheetView tabSelected="1" zoomScale="85" zoomScaleNormal="85" workbookViewId="0">
      <selection activeCell="F58" sqref="F58"/>
    </sheetView>
  </sheetViews>
  <sheetFormatPr defaultColWidth="9.140625" defaultRowHeight="15"/>
  <cols>
    <col min="1" max="1" width="9.42578125" style="540" customWidth="1"/>
    <col min="2" max="2" width="4.7109375" style="489" customWidth="1"/>
    <col min="3" max="3" width="60.28515625" style="489" customWidth="1"/>
    <col min="4" max="4" width="28.140625" style="431" customWidth="1"/>
    <col min="5" max="5" width="24.7109375" style="489" customWidth="1"/>
    <col min="6" max="6" width="20.28515625" style="489" customWidth="1"/>
    <col min="7" max="16384" width="9.140625" style="489"/>
  </cols>
  <sheetData>
    <row r="1" spans="1:5" ht="15.75" customHeight="1">
      <c r="A1" s="487"/>
      <c r="B1" s="488"/>
      <c r="C1" s="488"/>
      <c r="D1" s="488"/>
    </row>
    <row r="2" spans="1:5">
      <c r="A2" s="490" t="s">
        <v>912</v>
      </c>
      <c r="B2" s="490"/>
      <c r="C2" s="490"/>
      <c r="D2" s="491"/>
    </row>
    <row r="3" spans="1:5">
      <c r="A3" s="492" t="s">
        <v>822</v>
      </c>
      <c r="B3" s="493"/>
      <c r="C3" s="493"/>
      <c r="D3" s="491"/>
      <c r="E3" s="494" t="s">
        <v>960</v>
      </c>
    </row>
    <row r="4" spans="1:5">
      <c r="A4" s="728"/>
      <c r="B4" s="728"/>
      <c r="C4" s="728"/>
      <c r="D4" s="495"/>
    </row>
    <row r="5" spans="1:5">
      <c r="A5" s="496"/>
      <c r="B5" s="488"/>
      <c r="C5" s="488"/>
      <c r="D5" s="488"/>
      <c r="E5" s="497"/>
    </row>
    <row r="6" spans="1:5" ht="15" customHeight="1">
      <c r="A6" s="726" t="s">
        <v>16</v>
      </c>
      <c r="B6" s="726" t="s">
        <v>65</v>
      </c>
      <c r="C6" s="726"/>
      <c r="D6" s="726" t="s">
        <v>913</v>
      </c>
      <c r="E6" s="726" t="s">
        <v>810</v>
      </c>
    </row>
    <row r="7" spans="1:5" ht="15" customHeight="1">
      <c r="A7" s="726"/>
      <c r="B7" s="726"/>
      <c r="C7" s="726"/>
      <c r="D7" s="726"/>
      <c r="E7" s="726"/>
    </row>
    <row r="8" spans="1:5" ht="15.75" customHeight="1">
      <c r="A8" s="498">
        <v>1</v>
      </c>
      <c r="B8" s="727" t="s">
        <v>914</v>
      </c>
      <c r="C8" s="727"/>
      <c r="D8" s="499"/>
      <c r="E8" s="500"/>
    </row>
    <row r="9" spans="1:5" ht="15.75" customHeight="1">
      <c r="A9" s="501">
        <v>1.1000000000000001</v>
      </c>
      <c r="B9" s="502" t="s">
        <v>915</v>
      </c>
      <c r="C9" s="502"/>
      <c r="D9" s="503">
        <v>99146065.090000004</v>
      </c>
      <c r="E9" s="504">
        <f>SUM(E10:E15)</f>
        <v>345296883.80150002</v>
      </c>
    </row>
    <row r="10" spans="1:5">
      <c r="A10" s="505"/>
      <c r="B10" s="506">
        <v>1</v>
      </c>
      <c r="C10" s="507" t="s">
        <v>916</v>
      </c>
      <c r="D10" s="508">
        <v>99146065.090000004</v>
      </c>
      <c r="E10" s="443">
        <v>285532000</v>
      </c>
    </row>
    <row r="11" spans="1:5">
      <c r="A11" s="505"/>
      <c r="B11" s="506">
        <v>2</v>
      </c>
      <c r="C11" s="507" t="s">
        <v>917</v>
      </c>
      <c r="D11" s="508"/>
      <c r="E11" s="509"/>
    </row>
    <row r="12" spans="1:5">
      <c r="A12" s="505"/>
      <c r="B12" s="506">
        <v>3</v>
      </c>
      <c r="C12" s="507" t="s">
        <v>918</v>
      </c>
      <c r="D12" s="508"/>
      <c r="E12" s="509"/>
    </row>
    <row r="13" spans="1:5">
      <c r="A13" s="505"/>
      <c r="B13" s="506">
        <v>4</v>
      </c>
      <c r="C13" s="507" t="s">
        <v>919</v>
      </c>
      <c r="D13" s="508"/>
      <c r="E13" s="509"/>
    </row>
    <row r="14" spans="1:5">
      <c r="A14" s="505"/>
      <c r="B14" s="506">
        <v>5</v>
      </c>
      <c r="C14" s="507" t="s">
        <v>920</v>
      </c>
      <c r="D14" s="508"/>
      <c r="E14" s="509"/>
    </row>
    <row r="15" spans="1:5">
      <c r="A15" s="505"/>
      <c r="B15" s="506">
        <v>6</v>
      </c>
      <c r="C15" s="507" t="s">
        <v>921</v>
      </c>
      <c r="D15" s="508"/>
      <c r="E15" s="510">
        <v>59764883.801500008</v>
      </c>
    </row>
    <row r="16" spans="1:5" ht="15.75" customHeight="1">
      <c r="A16" s="501">
        <v>1.2000000000000002</v>
      </c>
      <c r="B16" s="511" t="s">
        <v>922</v>
      </c>
      <c r="C16" s="511"/>
      <c r="D16" s="503">
        <v>112178582.34999999</v>
      </c>
      <c r="E16" s="504">
        <f>SUM(E17:E25)</f>
        <v>568286883.79972947</v>
      </c>
    </row>
    <row r="17" spans="1:5">
      <c r="A17" s="505"/>
      <c r="B17" s="506">
        <v>7</v>
      </c>
      <c r="C17" s="507" t="s">
        <v>923</v>
      </c>
      <c r="D17" s="508">
        <v>35616396.369999997</v>
      </c>
      <c r="E17" s="512">
        <v>19898932.350000001</v>
      </c>
    </row>
    <row r="18" spans="1:5">
      <c r="A18" s="505"/>
      <c r="B18" s="506">
        <v>8</v>
      </c>
      <c r="C18" s="507" t="s">
        <v>924</v>
      </c>
      <c r="D18" s="508">
        <v>10570163.630000001</v>
      </c>
      <c r="E18" s="512">
        <v>4000000</v>
      </c>
    </row>
    <row r="19" spans="1:5">
      <c r="A19" s="505"/>
      <c r="B19" s="506">
        <v>9</v>
      </c>
      <c r="C19" s="507" t="s">
        <v>925</v>
      </c>
      <c r="D19" s="508">
        <v>49123231</v>
      </c>
      <c r="E19" s="512">
        <v>500613214.8697294</v>
      </c>
    </row>
    <row r="20" spans="1:5">
      <c r="A20" s="505"/>
      <c r="B20" s="506">
        <v>10</v>
      </c>
      <c r="C20" s="507" t="s">
        <v>926</v>
      </c>
      <c r="D20" s="508">
        <v>3902227</v>
      </c>
      <c r="E20" s="512"/>
    </row>
    <row r="21" spans="1:5">
      <c r="A21" s="505"/>
      <c r="B21" s="506">
        <v>11</v>
      </c>
      <c r="C21" s="507" t="s">
        <v>927</v>
      </c>
      <c r="D21" s="508">
        <v>1253341</v>
      </c>
      <c r="E21" s="512">
        <v>196100</v>
      </c>
    </row>
    <row r="22" spans="1:5">
      <c r="A22" s="505"/>
      <c r="B22" s="506">
        <v>12</v>
      </c>
      <c r="C22" s="507" t="s">
        <v>928</v>
      </c>
      <c r="D22" s="508"/>
      <c r="E22" s="509"/>
    </row>
    <row r="23" spans="1:5">
      <c r="A23" s="505"/>
      <c r="B23" s="506">
        <v>13</v>
      </c>
      <c r="C23" s="513" t="s">
        <v>929</v>
      </c>
      <c r="D23" s="508">
        <v>3518374.8600000003</v>
      </c>
      <c r="E23" s="512"/>
    </row>
    <row r="24" spans="1:5">
      <c r="A24" s="505"/>
      <c r="B24" s="506">
        <v>14</v>
      </c>
      <c r="C24" s="507" t="s">
        <v>930</v>
      </c>
      <c r="D24" s="508"/>
      <c r="E24" s="509"/>
    </row>
    <row r="25" spans="1:5">
      <c r="A25" s="505"/>
      <c r="B25" s="506">
        <v>15</v>
      </c>
      <c r="C25" s="507" t="s">
        <v>931</v>
      </c>
      <c r="D25" s="508">
        <v>8194848.4900000002</v>
      </c>
      <c r="E25" s="512">
        <v>43578636.579999998</v>
      </c>
    </row>
    <row r="26" spans="1:5" ht="15.75" customHeight="1">
      <c r="A26" s="514"/>
      <c r="B26" s="515" t="s">
        <v>932</v>
      </c>
      <c r="C26" s="515"/>
      <c r="D26" s="516">
        <v>-13032517.25999999</v>
      </c>
      <c r="E26" s="517">
        <f>+E9-E16</f>
        <v>-222989999.99822944</v>
      </c>
    </row>
    <row r="27" spans="1:5" ht="30.75" customHeight="1">
      <c r="A27" s="518">
        <v>2</v>
      </c>
      <c r="B27" s="519"/>
      <c r="C27" s="520" t="s">
        <v>933</v>
      </c>
      <c r="D27" s="499"/>
      <c r="E27" s="509"/>
    </row>
    <row r="28" spans="1:5">
      <c r="A28" s="518"/>
      <c r="B28" s="727" t="s">
        <v>933</v>
      </c>
      <c r="C28" s="727"/>
      <c r="D28" s="499"/>
      <c r="E28" s="509"/>
    </row>
    <row r="29" spans="1:5" ht="15" customHeight="1">
      <c r="A29" s="521">
        <v>2.1</v>
      </c>
      <c r="B29" s="511" t="s">
        <v>915</v>
      </c>
      <c r="C29" s="511"/>
      <c r="D29" s="503">
        <v>17738197.760000002</v>
      </c>
      <c r="E29" s="504">
        <f>SUM(E30:E36)</f>
        <v>0</v>
      </c>
    </row>
    <row r="30" spans="1:5">
      <c r="A30" s="501"/>
      <c r="B30" s="522">
        <v>16</v>
      </c>
      <c r="C30" s="523" t="s">
        <v>934</v>
      </c>
      <c r="D30" s="447"/>
      <c r="E30" s="509"/>
    </row>
    <row r="31" spans="1:5">
      <c r="A31" s="501"/>
      <c r="B31" s="522">
        <v>17</v>
      </c>
      <c r="C31" s="507" t="s">
        <v>935</v>
      </c>
      <c r="D31" s="508"/>
      <c r="E31" s="509"/>
    </row>
    <row r="32" spans="1:5">
      <c r="A32" s="501"/>
      <c r="B32" s="522">
        <v>18</v>
      </c>
      <c r="C32" s="507" t="s">
        <v>936</v>
      </c>
      <c r="D32" s="508"/>
      <c r="E32" s="509"/>
    </row>
    <row r="33" spans="1:5">
      <c r="A33" s="501"/>
      <c r="B33" s="522">
        <v>19</v>
      </c>
      <c r="C33" s="507" t="s">
        <v>937</v>
      </c>
      <c r="D33" s="508">
        <v>3337285</v>
      </c>
      <c r="E33" s="509"/>
    </row>
    <row r="34" spans="1:5" ht="15.75" customHeight="1">
      <c r="A34" s="501"/>
      <c r="B34" s="522">
        <v>20</v>
      </c>
      <c r="C34" s="507" t="s">
        <v>938</v>
      </c>
      <c r="D34" s="508">
        <v>14400000</v>
      </c>
    </row>
    <row r="35" spans="1:5">
      <c r="A35" s="501"/>
      <c r="B35" s="522">
        <v>21</v>
      </c>
      <c r="C35" s="507" t="s">
        <v>939</v>
      </c>
      <c r="D35" s="508">
        <v>912.76</v>
      </c>
      <c r="E35" s="509"/>
    </row>
    <row r="36" spans="1:5">
      <c r="A36" s="501"/>
      <c r="B36" s="522">
        <v>22</v>
      </c>
      <c r="C36" s="507" t="s">
        <v>940</v>
      </c>
      <c r="D36" s="508"/>
      <c r="E36" s="509"/>
    </row>
    <row r="37" spans="1:5" ht="15" customHeight="1">
      <c r="A37" s="501">
        <v>2.2000000000000002</v>
      </c>
      <c r="B37" s="511" t="s">
        <v>922</v>
      </c>
      <c r="C37" s="511"/>
      <c r="D37" s="503">
        <v>43625000</v>
      </c>
      <c r="E37" s="504">
        <f>SUM(E38:E42)</f>
        <v>0</v>
      </c>
    </row>
    <row r="38" spans="1:5">
      <c r="A38" s="501"/>
      <c r="B38" s="507">
        <v>23</v>
      </c>
      <c r="C38" s="507" t="s">
        <v>941</v>
      </c>
      <c r="D38" s="508"/>
      <c r="E38" s="509"/>
    </row>
    <row r="39" spans="1:5">
      <c r="A39" s="524"/>
      <c r="B39" s="507">
        <v>24</v>
      </c>
      <c r="C39" s="507" t="s">
        <v>942</v>
      </c>
      <c r="D39" s="508"/>
      <c r="E39" s="509"/>
    </row>
    <row r="40" spans="1:5">
      <c r="A40" s="524"/>
      <c r="B40" s="507">
        <v>25</v>
      </c>
      <c r="C40" s="507" t="s">
        <v>943</v>
      </c>
      <c r="D40" s="508"/>
      <c r="E40" s="509"/>
    </row>
    <row r="41" spans="1:5">
      <c r="A41" s="524"/>
      <c r="B41" s="507">
        <v>26</v>
      </c>
      <c r="C41" s="507" t="s">
        <v>944</v>
      </c>
      <c r="D41" s="508"/>
    </row>
    <row r="42" spans="1:5">
      <c r="A42" s="524"/>
      <c r="B42" s="507">
        <v>27</v>
      </c>
      <c r="C42" s="507" t="s">
        <v>945</v>
      </c>
      <c r="D42" s="508">
        <v>43625000</v>
      </c>
      <c r="E42" s="512"/>
    </row>
    <row r="43" spans="1:5" ht="15.75" customHeight="1">
      <c r="A43" s="525">
        <v>2.2999999999999998</v>
      </c>
      <c r="B43" s="515" t="s">
        <v>946</v>
      </c>
      <c r="C43" s="515"/>
      <c r="D43" s="516">
        <v>-25886802.239999998</v>
      </c>
      <c r="E43" s="517">
        <f>+E29-E37</f>
        <v>0</v>
      </c>
    </row>
    <row r="44" spans="1:5" ht="15.75" customHeight="1">
      <c r="A44" s="526">
        <v>3</v>
      </c>
      <c r="B44" s="527" t="s">
        <v>947</v>
      </c>
      <c r="C44" s="527"/>
      <c r="D44" s="449"/>
      <c r="E44" s="500"/>
    </row>
    <row r="45" spans="1:5" ht="15.75" customHeight="1">
      <c r="A45" s="521">
        <v>3.1</v>
      </c>
      <c r="B45" s="511" t="s">
        <v>915</v>
      </c>
      <c r="C45" s="511"/>
      <c r="D45" s="503">
        <v>41213578.329999998</v>
      </c>
      <c r="E45" s="504">
        <f>SUM(E46:E48)</f>
        <v>468800000</v>
      </c>
    </row>
    <row r="46" spans="1:5">
      <c r="A46" s="501"/>
      <c r="B46" s="506">
        <v>28</v>
      </c>
      <c r="C46" s="507" t="s">
        <v>948</v>
      </c>
      <c r="D46" s="508">
        <v>41213578.329999998</v>
      </c>
      <c r="E46" s="510">
        <f>kass!D5+Dans!R7+Dans!R9</f>
        <v>468800000</v>
      </c>
    </row>
    <row r="47" spans="1:5">
      <c r="A47" s="521"/>
      <c r="B47" s="506">
        <v>29</v>
      </c>
      <c r="C47" s="507" t="s">
        <v>949</v>
      </c>
      <c r="D47" s="508"/>
      <c r="E47" s="509"/>
    </row>
    <row r="48" spans="1:5">
      <c r="A48" s="501"/>
      <c r="B48" s="506">
        <v>30</v>
      </c>
      <c r="C48" s="507" t="s">
        <v>950</v>
      </c>
      <c r="D48" s="508"/>
      <c r="E48" s="509"/>
    </row>
    <row r="49" spans="1:6" ht="15" customHeight="1">
      <c r="A49" s="521">
        <v>3.2</v>
      </c>
      <c r="B49" s="511" t="s">
        <v>922</v>
      </c>
      <c r="C49" s="511"/>
      <c r="D49" s="449">
        <v>4600000</v>
      </c>
      <c r="E49" s="528">
        <f>SUM(E50:E53)</f>
        <v>245810000</v>
      </c>
    </row>
    <row r="50" spans="1:6">
      <c r="A50" s="501"/>
      <c r="B50" s="506">
        <v>31</v>
      </c>
      <c r="C50" s="507" t="s">
        <v>951</v>
      </c>
      <c r="D50" s="508">
        <v>4600000</v>
      </c>
      <c r="E50" s="509">
        <f>+Dans!R26+Dans!R27+Dans!R28+Dans!R29</f>
        <v>245810000</v>
      </c>
    </row>
    <row r="51" spans="1:6">
      <c r="A51" s="521"/>
      <c r="B51" s="506">
        <v>32</v>
      </c>
      <c r="C51" s="507" t="s">
        <v>952</v>
      </c>
      <c r="D51" s="508"/>
      <c r="E51" s="509"/>
    </row>
    <row r="52" spans="1:6">
      <c r="A52" s="501"/>
      <c r="B52" s="506">
        <v>33</v>
      </c>
      <c r="C52" s="523" t="s">
        <v>953</v>
      </c>
      <c r="D52" s="447"/>
      <c r="E52" s="509"/>
    </row>
    <row r="53" spans="1:6">
      <c r="A53" s="521"/>
      <c r="B53" s="506">
        <v>34</v>
      </c>
      <c r="C53" s="507" t="s">
        <v>954</v>
      </c>
      <c r="D53" s="508"/>
      <c r="E53" s="509"/>
    </row>
    <row r="54" spans="1:6" ht="29.25">
      <c r="A54" s="529">
        <v>3.3</v>
      </c>
      <c r="B54" s="530"/>
      <c r="C54" s="531" t="s">
        <v>955</v>
      </c>
      <c r="D54" s="516">
        <v>36613578.329999998</v>
      </c>
      <c r="E54" s="517">
        <f>+E45-E49</f>
        <v>222990000</v>
      </c>
    </row>
    <row r="55" spans="1:6">
      <c r="A55" s="501">
        <v>3.4</v>
      </c>
      <c r="B55" s="506">
        <v>35</v>
      </c>
      <c r="C55" s="532" t="s">
        <v>956</v>
      </c>
      <c r="D55" s="533">
        <v>-130727.82</v>
      </c>
      <c r="E55" s="510"/>
    </row>
    <row r="56" spans="1:6" ht="15" customHeight="1">
      <c r="A56" s="498">
        <v>4</v>
      </c>
      <c r="B56" s="527" t="s">
        <v>957</v>
      </c>
      <c r="C56" s="527"/>
      <c r="D56" s="449">
        <v>-2436468.9899999867</v>
      </c>
      <c r="E56" s="528">
        <f>E26+E43+E54+E55</f>
        <v>1.7705559730529785E-3</v>
      </c>
      <c r="F56" s="534"/>
    </row>
    <row r="57" spans="1:6">
      <c r="A57" s="535">
        <v>5</v>
      </c>
      <c r="B57" s="506"/>
      <c r="C57" s="520" t="s">
        <v>958</v>
      </c>
      <c r="D57" s="499">
        <v>3053239.03</v>
      </c>
      <c r="E57" s="528">
        <f>+'ST1'!C10</f>
        <v>616770.04000001191</v>
      </c>
    </row>
    <row r="58" spans="1:6">
      <c r="A58" s="535">
        <v>6</v>
      </c>
      <c r="B58" s="506"/>
      <c r="C58" s="520" t="s">
        <v>959</v>
      </c>
      <c r="D58" s="499">
        <v>616770.04000001191</v>
      </c>
      <c r="E58" s="528">
        <f>+'ST1'!D10</f>
        <v>10285663.723516531</v>
      </c>
    </row>
    <row r="59" spans="1:6" hidden="1">
      <c r="A59" s="536"/>
      <c r="B59" s="537"/>
      <c r="C59" s="538"/>
      <c r="D59" s="538"/>
      <c r="E59" s="539">
        <v>-3.795139491558075E-8</v>
      </c>
    </row>
    <row r="60" spans="1:6">
      <c r="B60" s="541"/>
      <c r="E60" s="534"/>
      <c r="F60" s="534"/>
    </row>
    <row r="61" spans="1:6" ht="15.75">
      <c r="B61" s="541"/>
      <c r="C61" s="483" t="s">
        <v>872</v>
      </c>
      <c r="D61" s="463"/>
      <c r="E61" s="483" t="s">
        <v>640</v>
      </c>
    </row>
    <row r="62" spans="1:6" ht="15.75">
      <c r="B62" s="541"/>
      <c r="C62" s="483"/>
      <c r="D62" s="463"/>
      <c r="E62" s="483"/>
    </row>
    <row r="63" spans="1:6" ht="15.75">
      <c r="B63" s="541"/>
      <c r="C63" s="459" t="s">
        <v>873</v>
      </c>
      <c r="D63" s="463"/>
      <c r="E63" s="483" t="s">
        <v>639</v>
      </c>
    </row>
    <row r="64" spans="1:6">
      <c r="B64" s="540"/>
      <c r="C64" s="542"/>
      <c r="D64" s="542"/>
      <c r="E64" s="540"/>
    </row>
    <row r="65" spans="1:5">
      <c r="A65" s="489"/>
    </row>
    <row r="66" spans="1:5">
      <c r="A66" s="489"/>
      <c r="E66" s="534"/>
    </row>
    <row r="67" spans="1:5">
      <c r="A67" s="489"/>
      <c r="E67" s="534"/>
    </row>
    <row r="68" spans="1:5">
      <c r="A68" s="489"/>
      <c r="E68" s="534"/>
    </row>
    <row r="69" spans="1:5">
      <c r="A69" s="489"/>
    </row>
    <row r="70" spans="1:5">
      <c r="A70" s="489"/>
    </row>
    <row r="71" spans="1:5">
      <c r="A71" s="489"/>
    </row>
    <row r="72" spans="1:5">
      <c r="A72" s="489"/>
    </row>
  </sheetData>
  <mergeCells count="7">
    <mergeCell ref="E6:E7"/>
    <mergeCell ref="B8:C8"/>
    <mergeCell ref="B28:C28"/>
    <mergeCell ref="A4:C4"/>
    <mergeCell ref="A6:A7"/>
    <mergeCell ref="B6:C7"/>
    <mergeCell ref="D6:D7"/>
  </mergeCells>
  <pageMargins left="0.34" right="0.17" top="0.2" bottom="0.17" header="0.3" footer="0.3"/>
  <pageSetup paperSize="9" scale="7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C7B8A-939A-4593-B6B4-D65883C447DB}">
  <sheetPr codeName="Sheet1"/>
  <dimension ref="A1:CN445"/>
  <sheetViews>
    <sheetView workbookViewId="0">
      <selection activeCell="E456" sqref="E456"/>
    </sheetView>
  </sheetViews>
  <sheetFormatPr defaultColWidth="12.7109375" defaultRowHeight="12"/>
  <cols>
    <col min="1" max="1" width="6" style="13" customWidth="1"/>
    <col min="2" max="2" width="0" style="13" hidden="1" customWidth="1"/>
    <col min="3" max="3" width="18.7109375" style="13" customWidth="1"/>
    <col min="4" max="7" width="12.7109375" style="648"/>
    <col min="8" max="8" width="12.7109375" style="681"/>
    <col min="9" max="9" width="0" style="648" hidden="1" customWidth="1"/>
    <col min="10" max="16384" width="12.7109375" style="13"/>
  </cols>
  <sheetData>
    <row r="1" spans="1:92">
      <c r="A1" s="646" t="s">
        <v>1000</v>
      </c>
      <c r="B1" s="647"/>
      <c r="C1" s="647"/>
      <c r="D1" s="647"/>
      <c r="F1" s="647"/>
      <c r="G1" s="647"/>
      <c r="H1" s="647"/>
      <c r="I1" s="647"/>
      <c r="J1" s="647"/>
      <c r="K1" s="647"/>
      <c r="L1" s="647"/>
      <c r="M1" s="647"/>
      <c r="N1" s="647"/>
      <c r="O1" s="647"/>
      <c r="P1" s="647"/>
      <c r="Q1" s="647"/>
      <c r="R1" s="647"/>
      <c r="S1" s="647"/>
      <c r="T1" s="647"/>
      <c r="U1" s="647"/>
      <c r="V1" s="647"/>
      <c r="W1" s="647"/>
      <c r="X1" s="647"/>
      <c r="Y1" s="647"/>
      <c r="Z1" s="647"/>
      <c r="AA1" s="647"/>
      <c r="AB1" s="647"/>
      <c r="AC1" s="647"/>
      <c r="AD1" s="647"/>
      <c r="AE1" s="647"/>
      <c r="AF1" s="647"/>
      <c r="AG1" s="647"/>
      <c r="AH1" s="647"/>
      <c r="AI1" s="647"/>
      <c r="AJ1" s="647"/>
      <c r="AK1" s="647"/>
      <c r="AL1" s="647"/>
      <c r="AM1" s="647"/>
      <c r="AN1" s="647"/>
      <c r="AO1" s="647"/>
      <c r="AP1" s="647"/>
      <c r="AQ1" s="647"/>
      <c r="AR1" s="647"/>
      <c r="AS1" s="647"/>
      <c r="AT1" s="647"/>
      <c r="AU1" s="647"/>
      <c r="AV1" s="647"/>
      <c r="AW1" s="647"/>
      <c r="AX1" s="647"/>
      <c r="AY1" s="647"/>
      <c r="AZ1" s="647"/>
      <c r="BA1" s="647"/>
      <c r="BB1" s="647"/>
      <c r="BC1" s="647"/>
      <c r="BD1" s="647"/>
      <c r="BE1" s="647"/>
      <c r="BF1" s="647"/>
      <c r="BG1" s="647"/>
      <c r="BH1" s="647"/>
      <c r="BI1" s="647"/>
      <c r="BJ1" s="647"/>
      <c r="BK1" s="647"/>
      <c r="BL1" s="647"/>
      <c r="BM1" s="647"/>
      <c r="BN1" s="647"/>
      <c r="BO1" s="647"/>
      <c r="BP1" s="647"/>
      <c r="BQ1" s="647"/>
      <c r="BR1" s="647"/>
      <c r="BS1" s="647"/>
      <c r="BT1" s="647"/>
      <c r="BU1" s="647"/>
      <c r="BV1" s="647"/>
      <c r="BW1" s="647"/>
      <c r="BX1" s="647"/>
      <c r="BY1" s="647"/>
      <c r="BZ1" s="647"/>
      <c r="CA1" s="647"/>
      <c r="CB1" s="647"/>
      <c r="CC1" s="647"/>
      <c r="CD1" s="647"/>
      <c r="CE1" s="647"/>
      <c r="CF1" s="647"/>
      <c r="CG1" s="647"/>
      <c r="CH1" s="647"/>
      <c r="CI1" s="647"/>
      <c r="CJ1" s="647"/>
      <c r="CK1" s="647"/>
      <c r="CL1" s="647"/>
      <c r="CM1" s="647"/>
      <c r="CN1" s="647"/>
    </row>
    <row r="2" spans="1:92">
      <c r="A2" s="646" t="s">
        <v>1001</v>
      </c>
      <c r="B2" s="647"/>
      <c r="C2" s="647"/>
      <c r="D2" s="647"/>
      <c r="F2" s="647"/>
      <c r="G2" s="647"/>
      <c r="H2" s="647"/>
      <c r="I2" s="647"/>
      <c r="J2" s="647"/>
      <c r="K2" s="647"/>
      <c r="L2" s="647"/>
      <c r="M2" s="647"/>
      <c r="N2" s="647"/>
      <c r="O2" s="647"/>
      <c r="P2" s="647"/>
      <c r="Q2" s="647"/>
      <c r="R2" s="647"/>
      <c r="S2" s="647"/>
      <c r="T2" s="647"/>
      <c r="U2" s="647"/>
      <c r="V2" s="647"/>
      <c r="W2" s="647"/>
      <c r="X2" s="647"/>
      <c r="Y2" s="647"/>
      <c r="Z2" s="647"/>
      <c r="AA2" s="647"/>
      <c r="AB2" s="647"/>
      <c r="AC2" s="647"/>
      <c r="AD2" s="647"/>
      <c r="AE2" s="647"/>
      <c r="AF2" s="647"/>
      <c r="AG2" s="647"/>
      <c r="AH2" s="647"/>
      <c r="AI2" s="647"/>
      <c r="AJ2" s="647"/>
      <c r="AK2" s="647"/>
      <c r="AL2" s="647"/>
      <c r="AM2" s="647"/>
      <c r="AN2" s="647"/>
      <c r="AO2" s="647"/>
      <c r="AP2" s="647"/>
      <c r="AQ2" s="647"/>
      <c r="AR2" s="647"/>
      <c r="AS2" s="647"/>
      <c r="AT2" s="647"/>
      <c r="AU2" s="647"/>
      <c r="AV2" s="647"/>
      <c r="AW2" s="647"/>
      <c r="AX2" s="647"/>
      <c r="AY2" s="647"/>
      <c r="AZ2" s="647"/>
      <c r="BA2" s="647"/>
      <c r="BB2" s="647"/>
      <c r="BC2" s="647"/>
      <c r="BD2" s="647"/>
      <c r="BE2" s="647"/>
      <c r="BF2" s="647"/>
      <c r="BG2" s="647"/>
      <c r="BH2" s="647"/>
      <c r="BI2" s="647"/>
      <c r="BJ2" s="647"/>
      <c r="BK2" s="647"/>
      <c r="BL2" s="647"/>
      <c r="BM2" s="647"/>
      <c r="BN2" s="647"/>
      <c r="BO2" s="647"/>
      <c r="BP2" s="647"/>
      <c r="BQ2" s="647"/>
      <c r="BR2" s="647"/>
      <c r="BS2" s="647"/>
      <c r="BT2" s="647"/>
      <c r="BU2" s="647"/>
      <c r="BV2" s="647"/>
      <c r="BW2" s="647"/>
      <c r="BX2" s="647"/>
      <c r="BY2" s="647"/>
      <c r="BZ2" s="647"/>
      <c r="CA2" s="647"/>
      <c r="CB2" s="647"/>
      <c r="CC2" s="647"/>
      <c r="CD2" s="647"/>
      <c r="CE2" s="647"/>
      <c r="CF2" s="647"/>
      <c r="CG2" s="647"/>
      <c r="CH2" s="647"/>
      <c r="CI2" s="647"/>
      <c r="CJ2" s="647"/>
      <c r="CK2" s="647"/>
      <c r="CL2" s="647"/>
      <c r="CM2" s="647"/>
      <c r="CN2" s="647"/>
    </row>
    <row r="3" spans="1:92">
      <c r="A3" s="647"/>
      <c r="B3" s="646" t="s">
        <v>1002</v>
      </c>
      <c r="C3" s="647"/>
      <c r="D3" s="647"/>
      <c r="F3" s="647"/>
      <c r="G3" s="647"/>
      <c r="H3" s="647"/>
      <c r="I3" s="647"/>
      <c r="J3" s="647"/>
      <c r="K3" s="647"/>
      <c r="L3" s="647"/>
      <c r="M3" s="647"/>
      <c r="N3" s="647"/>
      <c r="O3" s="647"/>
      <c r="P3" s="647"/>
      <c r="Q3" s="647"/>
      <c r="R3" s="647"/>
      <c r="S3" s="647"/>
      <c r="T3" s="647"/>
      <c r="U3" s="647"/>
      <c r="V3" s="647"/>
      <c r="W3" s="647"/>
      <c r="X3" s="647"/>
      <c r="Y3" s="647"/>
      <c r="Z3" s="647"/>
      <c r="AA3" s="647"/>
      <c r="AB3" s="647"/>
      <c r="AC3" s="647"/>
      <c r="AD3" s="647"/>
      <c r="AE3" s="647"/>
      <c r="AF3" s="647"/>
      <c r="AG3" s="647"/>
      <c r="AH3" s="647"/>
      <c r="AI3" s="647"/>
      <c r="AJ3" s="647"/>
      <c r="AK3" s="647"/>
      <c r="AL3" s="647"/>
      <c r="AM3" s="647"/>
      <c r="AN3" s="647"/>
      <c r="AO3" s="647"/>
      <c r="AP3" s="647"/>
      <c r="AQ3" s="647"/>
      <c r="AR3" s="647"/>
      <c r="AS3" s="647"/>
      <c r="AT3" s="647"/>
      <c r="AU3" s="647"/>
      <c r="AV3" s="647"/>
      <c r="AW3" s="647"/>
      <c r="AX3" s="647"/>
      <c r="AY3" s="647"/>
      <c r="AZ3" s="647"/>
      <c r="BA3" s="647"/>
      <c r="BB3" s="647"/>
      <c r="BC3" s="647"/>
      <c r="BD3" s="647"/>
      <c r="BE3" s="647"/>
      <c r="BF3" s="647"/>
      <c r="BG3" s="647"/>
      <c r="BH3" s="647"/>
      <c r="BI3" s="647"/>
      <c r="BJ3" s="647"/>
      <c r="BK3" s="647"/>
      <c r="BL3" s="647"/>
      <c r="BM3" s="647"/>
      <c r="BN3" s="647"/>
      <c r="BO3" s="647"/>
      <c r="BP3" s="647"/>
      <c r="BQ3" s="647"/>
      <c r="BR3" s="647"/>
      <c r="BS3" s="647"/>
      <c r="BT3" s="647"/>
      <c r="BU3" s="647"/>
      <c r="BV3" s="647"/>
      <c r="BW3" s="647"/>
      <c r="BX3" s="647"/>
      <c r="BY3" s="647"/>
      <c r="BZ3" s="647"/>
      <c r="CA3" s="647"/>
      <c r="CB3" s="647"/>
      <c r="CC3" s="647"/>
      <c r="CD3" s="647"/>
      <c r="CE3" s="647"/>
      <c r="CF3" s="647"/>
      <c r="CG3" s="647"/>
      <c r="CH3" s="647"/>
      <c r="CI3" s="647"/>
      <c r="CJ3" s="647"/>
      <c r="CK3" s="647"/>
      <c r="CL3" s="647"/>
      <c r="CM3" s="647"/>
      <c r="CN3" s="647"/>
    </row>
    <row r="4" spans="1:92" s="14" customFormat="1" ht="25.9" customHeight="1">
      <c r="A4" s="650"/>
      <c r="B4" s="650"/>
      <c r="C4" s="651" t="s">
        <v>1240</v>
      </c>
      <c r="D4" s="651" t="s">
        <v>5</v>
      </c>
      <c r="E4" s="651" t="s">
        <v>2</v>
      </c>
      <c r="F4" s="650"/>
      <c r="G4" s="650"/>
      <c r="H4" s="650"/>
      <c r="I4" s="650"/>
      <c r="J4" s="650"/>
      <c r="K4" s="650"/>
      <c r="L4" s="650"/>
      <c r="M4" s="650"/>
      <c r="N4" s="650"/>
      <c r="O4" s="650"/>
      <c r="P4" s="650"/>
      <c r="Q4" s="650"/>
      <c r="R4" s="650"/>
      <c r="S4" s="650"/>
      <c r="T4" s="650"/>
      <c r="U4" s="650"/>
      <c r="V4" s="650"/>
      <c r="W4" s="650"/>
      <c r="X4" s="650"/>
      <c r="Y4" s="650"/>
      <c r="Z4" s="650"/>
      <c r="AA4" s="650"/>
      <c r="AB4" s="650"/>
      <c r="AC4" s="650"/>
      <c r="AD4" s="650"/>
      <c r="AE4" s="650"/>
      <c r="AF4" s="650"/>
      <c r="AG4" s="650"/>
      <c r="AH4" s="650"/>
      <c r="AI4" s="650"/>
      <c r="AJ4" s="650"/>
      <c r="AK4" s="650"/>
      <c r="AL4" s="650"/>
      <c r="AM4" s="650"/>
      <c r="AN4" s="650"/>
      <c r="AO4" s="650"/>
      <c r="AP4" s="650"/>
      <c r="AQ4" s="650"/>
      <c r="AR4" s="650"/>
      <c r="AS4" s="650"/>
      <c r="AT4" s="650"/>
      <c r="AU4" s="650"/>
      <c r="AV4" s="650"/>
      <c r="AW4" s="650"/>
      <c r="AX4" s="650"/>
      <c r="AY4" s="650"/>
      <c r="AZ4" s="650"/>
      <c r="BA4" s="650"/>
      <c r="BB4" s="650"/>
      <c r="BC4" s="650"/>
      <c r="BD4" s="650"/>
      <c r="BE4" s="650"/>
      <c r="BF4" s="650"/>
      <c r="BG4" s="650"/>
      <c r="BH4" s="650"/>
      <c r="BI4" s="650"/>
      <c r="BJ4" s="650"/>
      <c r="BK4" s="650"/>
      <c r="BL4" s="650"/>
      <c r="BM4" s="650"/>
      <c r="BN4" s="650"/>
      <c r="BO4" s="650"/>
      <c r="BP4" s="650"/>
      <c r="BQ4" s="650"/>
      <c r="BR4" s="650"/>
      <c r="BS4" s="650"/>
      <c r="BT4" s="650"/>
      <c r="BU4" s="650"/>
      <c r="BV4" s="650"/>
      <c r="BW4" s="650"/>
      <c r="BX4" s="650"/>
      <c r="BY4" s="650"/>
      <c r="BZ4" s="650"/>
      <c r="CA4" s="650"/>
      <c r="CB4" s="650"/>
      <c r="CC4" s="650"/>
      <c r="CD4" s="650"/>
      <c r="CE4" s="650"/>
      <c r="CF4" s="650"/>
      <c r="CG4" s="650"/>
      <c r="CH4" s="650"/>
      <c r="CI4" s="650"/>
      <c r="CJ4" s="650"/>
      <c r="CK4" s="650"/>
      <c r="CL4" s="650"/>
      <c r="CM4" s="650"/>
      <c r="CN4" s="650"/>
    </row>
    <row r="5" spans="1:92">
      <c r="A5" s="647"/>
      <c r="B5" s="647"/>
      <c r="C5" s="652" t="s">
        <v>1241</v>
      </c>
      <c r="D5" s="653">
        <v>0</v>
      </c>
      <c r="E5" s="653">
        <v>116800.52</v>
      </c>
      <c r="F5" s="647"/>
      <c r="G5" s="647"/>
      <c r="H5" s="647"/>
      <c r="I5" s="647"/>
      <c r="J5" s="647"/>
      <c r="K5" s="647"/>
      <c r="L5" s="647"/>
      <c r="M5" s="647"/>
      <c r="N5" s="647"/>
      <c r="O5" s="647"/>
      <c r="P5" s="647"/>
      <c r="Q5" s="647"/>
      <c r="R5" s="647"/>
      <c r="S5" s="647"/>
      <c r="T5" s="647"/>
      <c r="U5" s="647"/>
      <c r="V5" s="647"/>
      <c r="W5" s="647"/>
      <c r="X5" s="647"/>
      <c r="Y5" s="647"/>
      <c r="Z5" s="647"/>
      <c r="AA5" s="647"/>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647"/>
      <c r="BP5" s="647"/>
      <c r="BQ5" s="647"/>
      <c r="BR5" s="647"/>
      <c r="BS5" s="647"/>
      <c r="BT5" s="647"/>
      <c r="BU5" s="647"/>
      <c r="BV5" s="647"/>
      <c r="BW5" s="647"/>
      <c r="BX5" s="647"/>
      <c r="BY5" s="647"/>
      <c r="BZ5" s="647"/>
      <c r="CA5" s="647"/>
      <c r="CB5" s="647"/>
      <c r="CC5" s="647"/>
      <c r="CD5" s="647"/>
      <c r="CE5" s="647"/>
      <c r="CF5" s="647"/>
      <c r="CG5" s="647"/>
      <c r="CH5" s="647"/>
      <c r="CI5" s="647"/>
      <c r="CJ5" s="647"/>
      <c r="CK5" s="647"/>
      <c r="CL5" s="647"/>
      <c r="CM5" s="647"/>
      <c r="CN5" s="647"/>
    </row>
    <row r="6" spans="1:92">
      <c r="A6" s="647"/>
      <c r="B6" s="647"/>
      <c r="C6" s="652" t="s">
        <v>1243</v>
      </c>
      <c r="D6" s="653">
        <v>616770.04</v>
      </c>
      <c r="E6" s="653">
        <v>10168863.199999999</v>
      </c>
      <c r="F6" s="647"/>
      <c r="G6" s="647"/>
      <c r="H6" s="647"/>
      <c r="I6" s="647"/>
      <c r="J6" s="647"/>
      <c r="K6" s="647"/>
      <c r="L6" s="647"/>
      <c r="M6" s="647"/>
      <c r="N6" s="647"/>
      <c r="O6" s="647"/>
      <c r="P6" s="647"/>
      <c r="Q6" s="647"/>
      <c r="R6" s="647"/>
      <c r="S6" s="647"/>
      <c r="T6" s="647"/>
      <c r="U6" s="647"/>
      <c r="V6" s="647"/>
      <c r="W6" s="647"/>
      <c r="X6" s="647"/>
      <c r="Y6" s="647"/>
      <c r="Z6" s="647"/>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647"/>
      <c r="BP6" s="647"/>
      <c r="BQ6" s="647"/>
      <c r="BR6" s="647"/>
      <c r="BS6" s="647"/>
      <c r="BT6" s="647"/>
      <c r="BU6" s="647"/>
      <c r="BV6" s="647"/>
      <c r="BW6" s="647"/>
      <c r="BX6" s="647"/>
      <c r="BY6" s="647"/>
      <c r="BZ6" s="647"/>
      <c r="CA6" s="647"/>
      <c r="CB6" s="647"/>
      <c r="CC6" s="647"/>
      <c r="CD6" s="647"/>
      <c r="CE6" s="647"/>
      <c r="CF6" s="647"/>
      <c r="CG6" s="647"/>
      <c r="CH6" s="647"/>
      <c r="CI6" s="647"/>
      <c r="CJ6" s="647"/>
      <c r="CK6" s="647"/>
      <c r="CL6" s="647"/>
      <c r="CM6" s="647"/>
      <c r="CN6" s="647"/>
    </row>
    <row r="7" spans="1:92" ht="24">
      <c r="A7" s="647"/>
      <c r="B7" s="647"/>
      <c r="C7" s="652" t="s">
        <v>1244</v>
      </c>
      <c r="D7" s="653">
        <v>0</v>
      </c>
      <c r="E7" s="653">
        <v>0</v>
      </c>
      <c r="F7" s="647"/>
      <c r="G7" s="647"/>
      <c r="H7" s="647"/>
      <c r="I7" s="647"/>
      <c r="J7" s="647"/>
      <c r="K7" s="647"/>
      <c r="L7" s="647"/>
      <c r="M7" s="647"/>
      <c r="N7" s="647"/>
      <c r="O7" s="647"/>
      <c r="P7" s="647"/>
      <c r="Q7" s="647"/>
      <c r="R7" s="647"/>
      <c r="S7" s="647"/>
      <c r="T7" s="647"/>
      <c r="U7" s="647"/>
      <c r="V7" s="647"/>
      <c r="W7" s="647"/>
      <c r="X7" s="647"/>
      <c r="Y7" s="647"/>
      <c r="Z7" s="647"/>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647"/>
      <c r="BP7" s="647"/>
      <c r="BQ7" s="647"/>
      <c r="BR7" s="647"/>
      <c r="BS7" s="647"/>
      <c r="BT7" s="647"/>
      <c r="BU7" s="647"/>
      <c r="BV7" s="647"/>
      <c r="BW7" s="647"/>
      <c r="BX7" s="647"/>
      <c r="BY7" s="647"/>
      <c r="BZ7" s="647"/>
      <c r="CA7" s="647"/>
      <c r="CB7" s="647"/>
      <c r="CC7" s="647"/>
      <c r="CD7" s="647"/>
      <c r="CE7" s="647"/>
      <c r="CF7" s="647"/>
      <c r="CG7" s="647"/>
      <c r="CH7" s="647"/>
      <c r="CI7" s="647"/>
      <c r="CJ7" s="647"/>
      <c r="CK7" s="647"/>
      <c r="CL7" s="647"/>
      <c r="CM7" s="647"/>
      <c r="CN7" s="647"/>
    </row>
    <row r="8" spans="1:92">
      <c r="A8" s="647"/>
      <c r="B8" s="647"/>
      <c r="C8" s="654" t="s">
        <v>1245</v>
      </c>
      <c r="D8" s="655">
        <v>616770.04</v>
      </c>
      <c r="E8" s="655">
        <v>10285663.720000001</v>
      </c>
      <c r="F8" s="647"/>
      <c r="G8" s="647"/>
      <c r="H8" s="647"/>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7"/>
      <c r="AI8" s="647"/>
      <c r="AJ8" s="647"/>
      <c r="AK8" s="647"/>
      <c r="AL8" s="647"/>
      <c r="AM8" s="647"/>
      <c r="AN8" s="647"/>
      <c r="AO8" s="647"/>
      <c r="AP8" s="647"/>
      <c r="AQ8" s="647"/>
      <c r="AR8" s="647"/>
      <c r="AS8" s="647"/>
      <c r="AT8" s="647"/>
      <c r="AU8" s="647"/>
      <c r="AV8" s="647"/>
      <c r="AW8" s="647"/>
      <c r="AX8" s="647"/>
      <c r="AY8" s="647"/>
      <c r="AZ8" s="647"/>
      <c r="BA8" s="647"/>
      <c r="BB8" s="647"/>
      <c r="BC8" s="647"/>
      <c r="BD8" s="647"/>
      <c r="BE8" s="647"/>
      <c r="BF8" s="647"/>
      <c r="BG8" s="647"/>
      <c r="BH8" s="647"/>
      <c r="BI8" s="647"/>
      <c r="BJ8" s="647"/>
      <c r="BK8" s="647"/>
      <c r="BL8" s="647"/>
      <c r="BM8" s="647"/>
      <c r="BN8" s="647"/>
      <c r="BO8" s="647"/>
      <c r="BP8" s="647"/>
      <c r="BQ8" s="647"/>
      <c r="BR8" s="647"/>
      <c r="BS8" s="647"/>
      <c r="BT8" s="647"/>
      <c r="BU8" s="647"/>
      <c r="BV8" s="647"/>
      <c r="BW8" s="647"/>
      <c r="BX8" s="647"/>
      <c r="BY8" s="647"/>
      <c r="BZ8" s="647"/>
      <c r="CA8" s="647"/>
      <c r="CB8" s="647"/>
      <c r="CC8" s="647"/>
      <c r="CD8" s="647"/>
      <c r="CE8" s="647"/>
      <c r="CF8" s="647"/>
      <c r="CG8" s="647"/>
      <c r="CH8" s="647"/>
      <c r="CI8" s="647"/>
      <c r="CJ8" s="647"/>
      <c r="CK8" s="647"/>
      <c r="CL8" s="647"/>
      <c r="CM8" s="647"/>
      <c r="CN8" s="647"/>
    </row>
    <row r="9" spans="1:92">
      <c r="A9" s="647"/>
      <c r="B9" s="656"/>
      <c r="C9" s="657"/>
      <c r="D9" s="658"/>
      <c r="E9" s="659"/>
      <c r="F9" s="647"/>
      <c r="G9" s="647"/>
      <c r="H9" s="647"/>
      <c r="I9" s="647"/>
      <c r="J9" s="647"/>
      <c r="K9" s="647"/>
      <c r="L9" s="647"/>
      <c r="M9" s="647"/>
      <c r="N9" s="647"/>
      <c r="O9" s="647"/>
      <c r="P9" s="647"/>
      <c r="Q9" s="647"/>
      <c r="R9" s="647"/>
      <c r="S9" s="647"/>
      <c r="T9" s="647"/>
      <c r="U9" s="647"/>
      <c r="V9" s="647"/>
      <c r="W9" s="647"/>
      <c r="X9" s="647"/>
      <c r="Y9" s="647"/>
      <c r="Z9" s="647"/>
      <c r="AA9" s="647"/>
      <c r="AB9" s="647"/>
      <c r="AC9" s="647"/>
      <c r="AD9" s="647"/>
      <c r="AE9" s="647"/>
      <c r="AF9" s="647"/>
      <c r="AG9" s="647"/>
      <c r="AH9" s="647"/>
      <c r="AI9" s="647"/>
      <c r="AJ9" s="647"/>
      <c r="AK9" s="647"/>
      <c r="AL9" s="647"/>
      <c r="AM9" s="647"/>
      <c r="AN9" s="647"/>
      <c r="AO9" s="647"/>
      <c r="AP9" s="647"/>
      <c r="AQ9" s="647"/>
      <c r="AR9" s="647"/>
      <c r="AS9" s="647"/>
      <c r="AT9" s="647"/>
      <c r="AU9" s="647"/>
      <c r="AV9" s="647"/>
      <c r="AW9" s="647"/>
      <c r="AX9" s="647"/>
      <c r="AY9" s="647"/>
      <c r="AZ9" s="647"/>
      <c r="BA9" s="647"/>
      <c r="BB9" s="647"/>
      <c r="BC9" s="647"/>
      <c r="BD9" s="647"/>
      <c r="BE9" s="647"/>
      <c r="BF9" s="647"/>
      <c r="BG9" s="647"/>
      <c r="BH9" s="647"/>
      <c r="BI9" s="647"/>
      <c r="BJ9" s="647"/>
      <c r="BK9" s="647"/>
      <c r="BL9" s="647"/>
      <c r="BM9" s="647"/>
      <c r="BN9" s="647"/>
      <c r="BO9" s="647"/>
      <c r="BP9" s="647"/>
      <c r="BQ9" s="647"/>
      <c r="BR9" s="647"/>
      <c r="BS9" s="647"/>
      <c r="BT9" s="647"/>
      <c r="BU9" s="647"/>
      <c r="BV9" s="647"/>
      <c r="BW9" s="647"/>
      <c r="BX9" s="647"/>
      <c r="BY9" s="647"/>
      <c r="BZ9" s="647"/>
      <c r="CA9" s="647"/>
      <c r="CB9" s="647"/>
      <c r="CC9" s="647"/>
      <c r="CD9" s="647"/>
      <c r="CE9" s="647"/>
      <c r="CF9" s="647"/>
      <c r="CG9" s="647"/>
      <c r="CH9" s="647"/>
      <c r="CI9" s="647"/>
      <c r="CJ9" s="647"/>
      <c r="CK9" s="647"/>
      <c r="CL9" s="647"/>
      <c r="CM9" s="647"/>
      <c r="CN9" s="647"/>
    </row>
    <row r="10" spans="1:92">
      <c r="A10" s="647"/>
      <c r="B10" s="660" t="s">
        <v>1007</v>
      </c>
      <c r="C10" s="647"/>
      <c r="D10" s="647"/>
      <c r="F10" s="647"/>
      <c r="G10" s="647"/>
      <c r="H10" s="647"/>
      <c r="I10" s="647"/>
      <c r="J10" s="647"/>
      <c r="K10" s="647"/>
      <c r="L10" s="647"/>
      <c r="M10" s="647"/>
      <c r="N10" s="647"/>
      <c r="O10" s="647"/>
      <c r="P10" s="647"/>
      <c r="Q10" s="647"/>
      <c r="R10" s="647"/>
      <c r="S10" s="647"/>
      <c r="T10" s="647"/>
      <c r="U10" s="647"/>
      <c r="V10" s="647"/>
      <c r="W10" s="647"/>
      <c r="X10" s="647"/>
      <c r="Y10" s="647"/>
      <c r="Z10" s="647"/>
      <c r="AA10" s="647"/>
      <c r="AB10" s="647"/>
      <c r="AC10" s="647"/>
      <c r="AD10" s="647"/>
      <c r="AE10" s="647"/>
      <c r="AF10" s="647"/>
      <c r="AG10" s="647"/>
      <c r="AH10" s="647"/>
      <c r="AI10" s="647"/>
      <c r="AJ10" s="647"/>
      <c r="AK10" s="647"/>
      <c r="AL10" s="647"/>
      <c r="AM10" s="647"/>
      <c r="AN10" s="647"/>
      <c r="AO10" s="647"/>
      <c r="AP10" s="647"/>
      <c r="AQ10" s="647"/>
      <c r="AR10" s="647"/>
      <c r="AS10" s="647"/>
      <c r="AT10" s="647"/>
      <c r="AU10" s="647"/>
      <c r="AV10" s="647"/>
      <c r="AW10" s="647"/>
      <c r="AX10" s="647"/>
      <c r="AY10" s="647"/>
      <c r="AZ10" s="647"/>
      <c r="BA10" s="647"/>
      <c r="BB10" s="647"/>
      <c r="BC10" s="647"/>
      <c r="BD10" s="647"/>
      <c r="BE10" s="647"/>
      <c r="BF10" s="647"/>
      <c r="BG10" s="647"/>
      <c r="BH10" s="647"/>
      <c r="BI10" s="647"/>
      <c r="BJ10" s="647"/>
      <c r="BK10" s="647"/>
      <c r="BL10" s="647"/>
      <c r="BM10" s="647"/>
      <c r="BN10" s="647"/>
      <c r="BO10" s="647"/>
      <c r="BP10" s="647"/>
      <c r="BQ10" s="647"/>
      <c r="BR10" s="647"/>
      <c r="BS10" s="647"/>
      <c r="BT10" s="647"/>
      <c r="BU10" s="647"/>
      <c r="BV10" s="647"/>
      <c r="BW10" s="647"/>
      <c r="BX10" s="647"/>
      <c r="BY10" s="647"/>
      <c r="BZ10" s="647"/>
      <c r="CA10" s="647"/>
      <c r="CB10" s="647"/>
      <c r="CC10" s="647"/>
      <c r="CD10" s="647"/>
      <c r="CE10" s="647"/>
      <c r="CF10" s="647"/>
      <c r="CG10" s="647"/>
      <c r="CH10" s="647"/>
      <c r="CI10" s="647"/>
      <c r="CJ10" s="647"/>
      <c r="CK10" s="647"/>
      <c r="CL10" s="647"/>
      <c r="CM10" s="647"/>
      <c r="CN10" s="647"/>
    </row>
    <row r="11" spans="1:92">
      <c r="A11" s="646" t="s">
        <v>1001</v>
      </c>
      <c r="B11" s="647"/>
      <c r="C11" s="647"/>
      <c r="D11" s="647"/>
      <c r="F11" s="647"/>
      <c r="G11" s="647"/>
      <c r="H11" s="647"/>
      <c r="I11" s="647"/>
      <c r="J11" s="647"/>
      <c r="K11" s="647"/>
      <c r="L11" s="647"/>
      <c r="M11" s="647"/>
      <c r="N11" s="647"/>
      <c r="O11" s="647"/>
      <c r="P11" s="647"/>
      <c r="Q11" s="647"/>
      <c r="R11" s="647"/>
      <c r="S11" s="647"/>
      <c r="T11" s="647"/>
      <c r="U11" s="647"/>
      <c r="V11" s="647"/>
      <c r="W11" s="647"/>
      <c r="X11" s="647"/>
      <c r="Y11" s="647"/>
      <c r="Z11" s="647"/>
      <c r="AA11" s="647"/>
      <c r="AB11" s="647"/>
      <c r="AC11" s="647"/>
      <c r="AD11" s="647"/>
      <c r="AE11" s="647"/>
      <c r="AF11" s="647"/>
      <c r="AG11" s="647"/>
      <c r="AH11" s="647"/>
      <c r="AI11" s="647"/>
      <c r="AJ11" s="647"/>
      <c r="AK11" s="647"/>
      <c r="AL11" s="647"/>
      <c r="AM11" s="647"/>
      <c r="AN11" s="647"/>
      <c r="AO11" s="647"/>
      <c r="AP11" s="647"/>
      <c r="AQ11" s="647"/>
      <c r="AR11" s="647"/>
      <c r="AS11" s="647"/>
      <c r="AT11" s="647"/>
      <c r="AU11" s="647"/>
      <c r="AV11" s="647"/>
      <c r="AW11" s="647"/>
      <c r="AX11" s="647"/>
      <c r="AY11" s="647"/>
      <c r="AZ11" s="647"/>
      <c r="BA11" s="647"/>
      <c r="BB11" s="647"/>
      <c r="BC11" s="647"/>
      <c r="BD11" s="647"/>
      <c r="BE11" s="647"/>
      <c r="BF11" s="647"/>
      <c r="BG11" s="647"/>
      <c r="BH11" s="647"/>
      <c r="BI11" s="647"/>
      <c r="BJ11" s="647"/>
      <c r="BK11" s="647"/>
      <c r="BL11" s="647"/>
      <c r="BM11" s="647"/>
      <c r="BN11" s="647"/>
      <c r="BO11" s="647"/>
      <c r="BP11" s="647"/>
      <c r="BQ11" s="647"/>
      <c r="BR11" s="647"/>
      <c r="BS11" s="647"/>
      <c r="BT11" s="647"/>
      <c r="BU11" s="647"/>
      <c r="BV11" s="647"/>
      <c r="BW11" s="647"/>
      <c r="BX11" s="647"/>
      <c r="BY11" s="647"/>
      <c r="BZ11" s="647"/>
      <c r="CA11" s="647"/>
      <c r="CB11" s="647"/>
      <c r="CC11" s="647"/>
      <c r="CD11" s="647"/>
      <c r="CE11" s="647"/>
      <c r="CF11" s="647"/>
      <c r="CG11" s="647"/>
      <c r="CH11" s="647"/>
      <c r="CI11" s="647"/>
      <c r="CJ11" s="647"/>
      <c r="CK11" s="647"/>
      <c r="CL11" s="647"/>
      <c r="CM11" s="647"/>
      <c r="CN11" s="647"/>
    </row>
    <row r="12" spans="1:92">
      <c r="A12" s="647"/>
      <c r="B12" s="647"/>
      <c r="C12" s="647"/>
      <c r="D12" s="647"/>
      <c r="F12" s="660"/>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c r="AD12" s="647"/>
      <c r="AE12" s="647"/>
      <c r="AF12" s="647"/>
      <c r="AG12" s="647"/>
      <c r="AH12" s="647"/>
      <c r="AI12" s="647"/>
      <c r="AJ12" s="647"/>
      <c r="AK12" s="647"/>
      <c r="AL12" s="647"/>
      <c r="AM12" s="647"/>
      <c r="AN12" s="647"/>
      <c r="AO12" s="647"/>
      <c r="AP12" s="647"/>
      <c r="AQ12" s="647"/>
      <c r="AR12" s="647"/>
      <c r="AS12" s="647"/>
      <c r="AT12" s="647"/>
      <c r="AU12" s="647"/>
      <c r="AV12" s="647"/>
      <c r="AW12" s="647"/>
      <c r="AX12" s="647"/>
      <c r="AY12" s="647"/>
      <c r="AZ12" s="647"/>
      <c r="BA12" s="647"/>
      <c r="BB12" s="647"/>
      <c r="BC12" s="647"/>
      <c r="BD12" s="647"/>
      <c r="BE12" s="647"/>
      <c r="BF12" s="647"/>
      <c r="BG12" s="647"/>
      <c r="BH12" s="647"/>
      <c r="BI12" s="647"/>
      <c r="BJ12" s="647"/>
      <c r="BK12" s="647"/>
      <c r="BL12" s="647"/>
      <c r="BM12" s="647"/>
      <c r="BN12" s="647"/>
      <c r="BO12" s="647"/>
      <c r="BP12" s="647"/>
      <c r="BQ12" s="647"/>
      <c r="BR12" s="647"/>
      <c r="BS12" s="647"/>
      <c r="BT12" s="647"/>
      <c r="BU12" s="647"/>
      <c r="BV12" s="647"/>
      <c r="BW12" s="647"/>
      <c r="BX12" s="647"/>
      <c r="BY12" s="647"/>
      <c r="BZ12" s="647"/>
      <c r="CA12" s="647"/>
      <c r="CB12" s="647"/>
      <c r="CC12" s="647"/>
      <c r="CD12" s="647"/>
      <c r="CE12" s="647"/>
      <c r="CF12" s="647"/>
      <c r="CG12" s="647"/>
      <c r="CH12" s="647"/>
      <c r="CI12" s="647"/>
      <c r="CJ12" s="647"/>
      <c r="CK12" s="647"/>
      <c r="CL12" s="647"/>
      <c r="CM12" s="647"/>
      <c r="CN12" s="647"/>
    </row>
    <row r="13" spans="1:92" ht="36">
      <c r="A13" s="647"/>
      <c r="B13" s="661" t="s">
        <v>99</v>
      </c>
      <c r="C13" s="661" t="s">
        <v>65</v>
      </c>
      <c r="D13" s="661" t="s">
        <v>825</v>
      </c>
      <c r="E13" s="662" t="s">
        <v>1008</v>
      </c>
      <c r="F13" s="661" t="s">
        <v>1009</v>
      </c>
      <c r="G13" s="647"/>
      <c r="H13" s="647"/>
      <c r="I13" s="647"/>
      <c r="J13" s="647"/>
      <c r="K13" s="647"/>
      <c r="L13" s="647"/>
      <c r="M13" s="647"/>
      <c r="N13" s="647"/>
      <c r="O13" s="647"/>
      <c r="P13" s="647"/>
      <c r="Q13" s="647"/>
      <c r="R13" s="647"/>
      <c r="S13" s="647"/>
      <c r="T13" s="647"/>
      <c r="U13" s="647"/>
      <c r="V13" s="647"/>
      <c r="W13" s="647"/>
      <c r="X13" s="647"/>
      <c r="Y13" s="647"/>
      <c r="Z13" s="647"/>
      <c r="AA13" s="647"/>
      <c r="AB13" s="647"/>
      <c r="AC13" s="647"/>
      <c r="AD13" s="647"/>
      <c r="AE13" s="647"/>
      <c r="AF13" s="647"/>
      <c r="AG13" s="647"/>
      <c r="AH13" s="647"/>
      <c r="AI13" s="647"/>
      <c r="AJ13" s="647"/>
      <c r="AK13" s="647"/>
      <c r="AL13" s="647"/>
      <c r="AM13" s="647"/>
      <c r="AN13" s="647"/>
      <c r="AO13" s="647"/>
      <c r="AP13" s="647"/>
      <c r="AQ13" s="647"/>
      <c r="AR13" s="647"/>
      <c r="AS13" s="647"/>
      <c r="AT13" s="647"/>
      <c r="AU13" s="647"/>
      <c r="AV13" s="647"/>
      <c r="AW13" s="647"/>
      <c r="AX13" s="647"/>
      <c r="AY13" s="647"/>
      <c r="AZ13" s="647"/>
      <c r="BA13" s="647"/>
      <c r="BB13" s="647"/>
      <c r="BC13" s="647"/>
      <c r="BD13" s="647"/>
      <c r="BE13" s="647"/>
      <c r="BF13" s="647"/>
      <c r="BG13" s="647"/>
      <c r="BH13" s="647"/>
      <c r="BI13" s="647"/>
      <c r="BJ13" s="647"/>
      <c r="BK13" s="647"/>
      <c r="BL13" s="647"/>
      <c r="BM13" s="647"/>
      <c r="BN13" s="647"/>
      <c r="BO13" s="647"/>
      <c r="BP13" s="647"/>
      <c r="BQ13" s="647"/>
      <c r="BR13" s="647"/>
      <c r="BS13" s="647"/>
      <c r="BT13" s="647"/>
      <c r="BU13" s="647"/>
      <c r="BV13" s="647"/>
      <c r="BW13" s="647"/>
      <c r="BX13" s="647"/>
      <c r="BY13" s="647"/>
      <c r="BZ13" s="647"/>
      <c r="CA13" s="647"/>
      <c r="CB13" s="647"/>
      <c r="CC13" s="647"/>
      <c r="CD13" s="647"/>
      <c r="CE13" s="647"/>
      <c r="CF13" s="647"/>
      <c r="CG13" s="647"/>
      <c r="CH13" s="647"/>
      <c r="CI13" s="647"/>
      <c r="CJ13" s="647"/>
      <c r="CK13" s="647"/>
      <c r="CL13" s="647"/>
      <c r="CM13" s="647"/>
      <c r="CN13" s="647"/>
    </row>
    <row r="14" spans="1:92">
      <c r="A14" s="647"/>
      <c r="B14" s="663" t="s">
        <v>1003</v>
      </c>
      <c r="C14" s="663" t="s">
        <v>5</v>
      </c>
      <c r="D14" s="664">
        <v>0</v>
      </c>
      <c r="E14" s="665">
        <v>0</v>
      </c>
      <c r="F14" s="664">
        <v>0</v>
      </c>
      <c r="G14" s="647"/>
      <c r="H14" s="647"/>
      <c r="I14" s="647"/>
      <c r="J14" s="647"/>
      <c r="K14" s="647"/>
      <c r="L14" s="647"/>
      <c r="M14" s="647"/>
      <c r="N14" s="647"/>
      <c r="O14" s="647"/>
      <c r="P14" s="647"/>
      <c r="Q14" s="647"/>
      <c r="R14" s="647"/>
      <c r="S14" s="647"/>
      <c r="T14" s="647"/>
      <c r="U14" s="647"/>
      <c r="V14" s="647"/>
      <c r="W14" s="647"/>
      <c r="X14" s="647"/>
      <c r="Y14" s="647"/>
      <c r="Z14" s="647"/>
      <c r="AA14" s="647"/>
      <c r="AB14" s="647"/>
      <c r="AC14" s="647"/>
      <c r="AD14" s="647"/>
      <c r="AE14" s="647"/>
      <c r="AF14" s="647"/>
      <c r="AG14" s="647"/>
      <c r="AH14" s="647"/>
      <c r="AI14" s="647"/>
      <c r="AJ14" s="647"/>
      <c r="AK14" s="647"/>
      <c r="AL14" s="647"/>
      <c r="AM14" s="647"/>
      <c r="AN14" s="647"/>
      <c r="AO14" s="647"/>
      <c r="AP14" s="647"/>
      <c r="AQ14" s="647"/>
      <c r="AR14" s="647"/>
      <c r="AS14" s="647"/>
      <c r="AT14" s="647"/>
      <c r="AU14" s="647"/>
      <c r="AV14" s="647"/>
      <c r="AW14" s="647"/>
      <c r="AX14" s="647"/>
      <c r="AY14" s="647"/>
      <c r="AZ14" s="647"/>
      <c r="BA14" s="647"/>
      <c r="BB14" s="647"/>
      <c r="BC14" s="647"/>
      <c r="BD14" s="647"/>
      <c r="BE14" s="647"/>
      <c r="BF14" s="647"/>
      <c r="BG14" s="647"/>
      <c r="BH14" s="647"/>
      <c r="BI14" s="647"/>
      <c r="BJ14" s="647"/>
      <c r="BK14" s="647"/>
      <c r="BL14" s="647"/>
      <c r="BM14" s="647"/>
      <c r="BN14" s="647"/>
      <c r="BO14" s="647"/>
      <c r="BP14" s="647"/>
      <c r="BQ14" s="647"/>
      <c r="BR14" s="647"/>
      <c r="BS14" s="647"/>
      <c r="BT14" s="647"/>
      <c r="BU14" s="647"/>
      <c r="BV14" s="647"/>
      <c r="BW14" s="647"/>
      <c r="BX14" s="647"/>
      <c r="BY14" s="647"/>
      <c r="BZ14" s="647"/>
      <c r="CA14" s="647"/>
      <c r="CB14" s="647"/>
      <c r="CC14" s="647"/>
      <c r="CD14" s="647"/>
      <c r="CE14" s="647"/>
      <c r="CF14" s="647"/>
      <c r="CG14" s="647"/>
      <c r="CH14" s="647"/>
      <c r="CI14" s="647"/>
      <c r="CJ14" s="647"/>
      <c r="CK14" s="647"/>
      <c r="CL14" s="647"/>
      <c r="CM14" s="647"/>
      <c r="CN14" s="647"/>
    </row>
    <row r="15" spans="1:92">
      <c r="A15" s="647"/>
      <c r="B15" s="663" t="s">
        <v>1010</v>
      </c>
      <c r="C15" s="663" t="s">
        <v>1011</v>
      </c>
      <c r="D15" s="664">
        <v>0</v>
      </c>
      <c r="E15" s="665">
        <v>0</v>
      </c>
      <c r="F15" s="664">
        <v>0</v>
      </c>
      <c r="G15" s="647"/>
      <c r="H15" s="647"/>
      <c r="I15" s="647"/>
      <c r="J15" s="647"/>
      <c r="K15" s="647"/>
      <c r="L15" s="647"/>
      <c r="M15" s="647"/>
      <c r="N15" s="647"/>
      <c r="O15" s="647"/>
      <c r="P15" s="647"/>
      <c r="Q15" s="647"/>
      <c r="R15" s="647"/>
      <c r="S15" s="647"/>
      <c r="T15" s="647"/>
      <c r="U15" s="647"/>
      <c r="V15" s="647"/>
      <c r="W15" s="647"/>
      <c r="X15" s="647"/>
      <c r="Y15" s="647"/>
      <c r="Z15" s="647"/>
      <c r="AA15" s="647"/>
      <c r="AB15" s="647"/>
      <c r="AC15" s="647"/>
      <c r="AD15" s="647"/>
      <c r="AE15" s="647"/>
      <c r="AF15" s="647"/>
      <c r="AG15" s="647"/>
      <c r="AH15" s="647"/>
      <c r="AI15" s="647"/>
      <c r="AJ15" s="647"/>
      <c r="AK15" s="647"/>
      <c r="AL15" s="647"/>
      <c r="AM15" s="647"/>
      <c r="AN15" s="647"/>
      <c r="AO15" s="647"/>
      <c r="AP15" s="647"/>
      <c r="AQ15" s="647"/>
      <c r="AR15" s="647"/>
      <c r="AS15" s="647"/>
      <c r="AT15" s="647"/>
      <c r="AU15" s="647"/>
      <c r="AV15" s="647"/>
      <c r="AW15" s="647"/>
      <c r="AX15" s="647"/>
      <c r="AY15" s="647"/>
      <c r="AZ15" s="647"/>
      <c r="BA15" s="647"/>
      <c r="BB15" s="647"/>
      <c r="BC15" s="647"/>
      <c r="BD15" s="647"/>
      <c r="BE15" s="647"/>
      <c r="BF15" s="647"/>
      <c r="BG15" s="647"/>
      <c r="BH15" s="647"/>
      <c r="BI15" s="647"/>
      <c r="BJ15" s="647"/>
      <c r="BK15" s="647"/>
      <c r="BL15" s="647"/>
      <c r="BM15" s="647"/>
      <c r="BN15" s="647"/>
      <c r="BO15" s="647"/>
      <c r="BP15" s="647"/>
      <c r="BQ15" s="647"/>
      <c r="BR15" s="647"/>
      <c r="BS15" s="647"/>
      <c r="BT15" s="647"/>
      <c r="BU15" s="647"/>
      <c r="BV15" s="647"/>
      <c r="BW15" s="647"/>
      <c r="BX15" s="647"/>
      <c r="BY15" s="647"/>
      <c r="BZ15" s="647"/>
      <c r="CA15" s="647"/>
      <c r="CB15" s="647"/>
      <c r="CC15" s="647"/>
      <c r="CD15" s="647"/>
      <c r="CE15" s="647"/>
      <c r="CF15" s="647"/>
      <c r="CG15" s="647"/>
      <c r="CH15" s="647"/>
      <c r="CI15" s="647"/>
      <c r="CJ15" s="647"/>
      <c r="CK15" s="647"/>
      <c r="CL15" s="647"/>
      <c r="CM15" s="647"/>
      <c r="CN15" s="647"/>
    </row>
    <row r="16" spans="1:92">
      <c r="A16" s="647"/>
      <c r="B16" s="663" t="s">
        <v>1005</v>
      </c>
      <c r="C16" s="663" t="s">
        <v>1012</v>
      </c>
      <c r="D16" s="664">
        <v>0</v>
      </c>
      <c r="E16" s="665">
        <v>0</v>
      </c>
      <c r="F16" s="664">
        <v>0</v>
      </c>
      <c r="G16" s="647"/>
      <c r="H16" s="647"/>
      <c r="I16" s="647"/>
      <c r="J16" s="647"/>
      <c r="K16" s="647"/>
      <c r="L16" s="647"/>
      <c r="M16" s="647"/>
      <c r="N16" s="647"/>
      <c r="O16" s="647"/>
      <c r="P16" s="647"/>
      <c r="Q16" s="647"/>
      <c r="R16" s="647"/>
      <c r="S16" s="647"/>
      <c r="T16" s="647"/>
      <c r="U16" s="647"/>
      <c r="V16" s="647"/>
      <c r="W16" s="647"/>
      <c r="X16" s="647"/>
      <c r="Y16" s="647"/>
      <c r="Z16" s="647"/>
      <c r="AA16" s="647"/>
      <c r="AB16" s="647"/>
      <c r="AC16" s="647"/>
      <c r="AD16" s="647"/>
      <c r="AE16" s="647"/>
      <c r="AF16" s="647"/>
      <c r="AG16" s="647"/>
      <c r="AH16" s="647"/>
      <c r="AI16" s="647"/>
      <c r="AJ16" s="647"/>
      <c r="AK16" s="647"/>
      <c r="AL16" s="647"/>
      <c r="AM16" s="647"/>
      <c r="AN16" s="647"/>
      <c r="AO16" s="647"/>
      <c r="AP16" s="647"/>
      <c r="AQ16" s="647"/>
      <c r="AR16" s="647"/>
      <c r="AS16" s="647"/>
      <c r="AT16" s="647"/>
      <c r="AU16" s="647"/>
      <c r="AV16" s="647"/>
      <c r="AW16" s="647"/>
      <c r="AX16" s="647"/>
      <c r="AY16" s="647"/>
      <c r="AZ16" s="647"/>
      <c r="BA16" s="647"/>
      <c r="BB16" s="647"/>
      <c r="BC16" s="647"/>
      <c r="BD16" s="647"/>
      <c r="BE16" s="647"/>
      <c r="BF16" s="647"/>
      <c r="BG16" s="647"/>
      <c r="BH16" s="647"/>
      <c r="BI16" s="647"/>
      <c r="BJ16" s="647"/>
      <c r="BK16" s="647"/>
      <c r="BL16" s="647"/>
      <c r="BM16" s="647"/>
      <c r="BN16" s="647"/>
      <c r="BO16" s="647"/>
      <c r="BP16" s="647"/>
      <c r="BQ16" s="647"/>
      <c r="BR16" s="647"/>
      <c r="BS16" s="647"/>
      <c r="BT16" s="647"/>
      <c r="BU16" s="647"/>
      <c r="BV16" s="647"/>
      <c r="BW16" s="647"/>
      <c r="BX16" s="647"/>
      <c r="BY16" s="647"/>
      <c r="BZ16" s="647"/>
      <c r="CA16" s="647"/>
      <c r="CB16" s="647"/>
      <c r="CC16" s="647"/>
      <c r="CD16" s="647"/>
      <c r="CE16" s="647"/>
      <c r="CF16" s="647"/>
      <c r="CG16" s="647"/>
      <c r="CH16" s="647"/>
      <c r="CI16" s="647"/>
      <c r="CJ16" s="647"/>
      <c r="CK16" s="647"/>
      <c r="CL16" s="647"/>
      <c r="CM16" s="647"/>
      <c r="CN16" s="647"/>
    </row>
    <row r="17" spans="1:92">
      <c r="A17" s="647"/>
      <c r="B17" s="663" t="s">
        <v>1013</v>
      </c>
      <c r="C17" s="663" t="s">
        <v>1014</v>
      </c>
      <c r="D17" s="664">
        <v>0</v>
      </c>
      <c r="E17" s="665">
        <v>0</v>
      </c>
      <c r="F17" s="664">
        <v>0</v>
      </c>
      <c r="G17" s="647"/>
      <c r="H17" s="647"/>
      <c r="I17" s="647"/>
      <c r="J17" s="647"/>
      <c r="K17" s="647"/>
      <c r="L17" s="647"/>
      <c r="M17" s="647"/>
      <c r="N17" s="647"/>
      <c r="O17" s="647"/>
      <c r="P17" s="647"/>
      <c r="Q17" s="647"/>
      <c r="R17" s="647"/>
      <c r="S17" s="647"/>
      <c r="T17" s="647"/>
      <c r="U17" s="647"/>
      <c r="V17" s="647"/>
      <c r="W17" s="647"/>
      <c r="X17" s="647"/>
      <c r="Y17" s="647"/>
      <c r="Z17" s="647"/>
      <c r="AA17" s="647"/>
      <c r="AB17" s="647"/>
      <c r="AC17" s="647"/>
      <c r="AD17" s="647"/>
      <c r="AE17" s="647"/>
      <c r="AF17" s="647"/>
      <c r="AG17" s="647"/>
      <c r="AH17" s="647"/>
      <c r="AI17" s="647"/>
      <c r="AJ17" s="647"/>
      <c r="AK17" s="647"/>
      <c r="AL17" s="647"/>
      <c r="AM17" s="647"/>
      <c r="AN17" s="647"/>
      <c r="AO17" s="647"/>
      <c r="AP17" s="647"/>
      <c r="AQ17" s="647"/>
      <c r="AR17" s="647"/>
      <c r="AS17" s="647"/>
      <c r="AT17" s="647"/>
      <c r="AU17" s="647"/>
      <c r="AV17" s="647"/>
      <c r="AW17" s="647"/>
      <c r="AX17" s="647"/>
      <c r="AY17" s="647"/>
      <c r="AZ17" s="647"/>
      <c r="BA17" s="647"/>
      <c r="BB17" s="647"/>
      <c r="BC17" s="647"/>
      <c r="BD17" s="647"/>
      <c r="BE17" s="647"/>
      <c r="BF17" s="647"/>
      <c r="BG17" s="647"/>
      <c r="BH17" s="647"/>
      <c r="BI17" s="647"/>
      <c r="BJ17" s="647"/>
      <c r="BK17" s="647"/>
      <c r="BL17" s="647"/>
      <c r="BM17" s="647"/>
      <c r="BN17" s="647"/>
      <c r="BO17" s="647"/>
      <c r="BP17" s="647"/>
      <c r="BQ17" s="647"/>
      <c r="BR17" s="647"/>
      <c r="BS17" s="647"/>
      <c r="BT17" s="647"/>
      <c r="BU17" s="647"/>
      <c r="BV17" s="647"/>
      <c r="BW17" s="647"/>
      <c r="BX17" s="647"/>
      <c r="BY17" s="647"/>
      <c r="BZ17" s="647"/>
      <c r="CA17" s="647"/>
      <c r="CB17" s="647"/>
      <c r="CC17" s="647"/>
      <c r="CD17" s="647"/>
      <c r="CE17" s="647"/>
      <c r="CF17" s="647"/>
      <c r="CG17" s="647"/>
      <c r="CH17" s="647"/>
      <c r="CI17" s="647"/>
      <c r="CJ17" s="647"/>
      <c r="CK17" s="647"/>
      <c r="CL17" s="647"/>
      <c r="CM17" s="647"/>
      <c r="CN17" s="647"/>
    </row>
    <row r="18" spans="1:92">
      <c r="A18" s="647"/>
      <c r="B18" s="663" t="s">
        <v>1015</v>
      </c>
      <c r="C18" s="663" t="s">
        <v>1016</v>
      </c>
      <c r="D18" s="664">
        <v>0</v>
      </c>
      <c r="E18" s="665">
        <v>0</v>
      </c>
      <c r="F18" s="664">
        <v>0</v>
      </c>
      <c r="G18" s="647"/>
      <c r="H18" s="647"/>
      <c r="I18" s="647"/>
      <c r="J18" s="647"/>
      <c r="K18" s="647"/>
      <c r="L18" s="647"/>
      <c r="M18" s="647"/>
      <c r="N18" s="647"/>
      <c r="O18" s="647"/>
      <c r="P18" s="647"/>
      <c r="Q18" s="647"/>
      <c r="R18" s="647"/>
      <c r="S18" s="647"/>
      <c r="T18" s="647"/>
      <c r="U18" s="647"/>
      <c r="V18" s="647"/>
      <c r="W18" s="647"/>
      <c r="X18" s="647"/>
      <c r="Y18" s="647"/>
      <c r="Z18" s="647"/>
      <c r="AA18" s="647"/>
      <c r="AB18" s="647"/>
      <c r="AC18" s="647"/>
      <c r="AD18" s="647"/>
      <c r="AE18" s="647"/>
      <c r="AF18" s="647"/>
      <c r="AG18" s="647"/>
      <c r="AH18" s="647"/>
      <c r="AI18" s="647"/>
      <c r="AJ18" s="647"/>
      <c r="AK18" s="647"/>
      <c r="AL18" s="647"/>
      <c r="AM18" s="647"/>
      <c r="AN18" s="647"/>
      <c r="AO18" s="647"/>
      <c r="AP18" s="647"/>
      <c r="AQ18" s="647"/>
      <c r="AR18" s="647"/>
      <c r="AS18" s="647"/>
      <c r="AT18" s="647"/>
      <c r="AU18" s="647"/>
      <c r="AV18" s="647"/>
      <c r="AW18" s="647"/>
      <c r="AX18" s="647"/>
      <c r="AY18" s="647"/>
      <c r="AZ18" s="647"/>
      <c r="BA18" s="647"/>
      <c r="BB18" s="647"/>
      <c r="BC18" s="647"/>
      <c r="BD18" s="647"/>
      <c r="BE18" s="647"/>
      <c r="BF18" s="647"/>
      <c r="BG18" s="647"/>
      <c r="BH18" s="647"/>
      <c r="BI18" s="647"/>
      <c r="BJ18" s="647"/>
      <c r="BK18" s="647"/>
      <c r="BL18" s="647"/>
      <c r="BM18" s="647"/>
      <c r="BN18" s="647"/>
      <c r="BO18" s="647"/>
      <c r="BP18" s="647"/>
      <c r="BQ18" s="647"/>
      <c r="BR18" s="647"/>
      <c r="BS18" s="647"/>
      <c r="BT18" s="647"/>
      <c r="BU18" s="647"/>
      <c r="BV18" s="647"/>
      <c r="BW18" s="647"/>
      <c r="BX18" s="647"/>
      <c r="BY18" s="647"/>
      <c r="BZ18" s="647"/>
      <c r="CA18" s="647"/>
      <c r="CB18" s="647"/>
      <c r="CC18" s="647"/>
      <c r="CD18" s="647"/>
      <c r="CE18" s="647"/>
      <c r="CF18" s="647"/>
      <c r="CG18" s="647"/>
      <c r="CH18" s="647"/>
      <c r="CI18" s="647"/>
      <c r="CJ18" s="647"/>
      <c r="CK18" s="647"/>
      <c r="CL18" s="647"/>
      <c r="CM18" s="647"/>
      <c r="CN18" s="647"/>
    </row>
    <row r="19" spans="1:92">
      <c r="A19" s="647"/>
      <c r="B19" s="663" t="s">
        <v>1006</v>
      </c>
      <c r="C19" s="663" t="s">
        <v>2</v>
      </c>
      <c r="D19" s="664">
        <v>0</v>
      </c>
      <c r="E19" s="665">
        <v>0</v>
      </c>
      <c r="F19" s="664">
        <v>0</v>
      </c>
      <c r="G19" s="647"/>
      <c r="H19" s="647"/>
      <c r="I19" s="647"/>
      <c r="J19" s="647"/>
      <c r="K19" s="647"/>
      <c r="L19" s="647"/>
      <c r="M19" s="647"/>
      <c r="N19" s="647"/>
      <c r="O19" s="647"/>
      <c r="P19" s="647"/>
      <c r="Q19" s="647"/>
      <c r="R19" s="647"/>
      <c r="S19" s="647"/>
      <c r="T19" s="647"/>
      <c r="U19" s="647"/>
      <c r="V19" s="647"/>
      <c r="W19" s="647"/>
      <c r="X19" s="647"/>
      <c r="Y19" s="647"/>
      <c r="Z19" s="647"/>
      <c r="AA19" s="647"/>
      <c r="AB19" s="647"/>
      <c r="AC19" s="647"/>
      <c r="AD19" s="647"/>
      <c r="AE19" s="647"/>
      <c r="AF19" s="647"/>
      <c r="AG19" s="647"/>
      <c r="AH19" s="647"/>
      <c r="AI19" s="647"/>
      <c r="AJ19" s="647"/>
      <c r="AK19" s="647"/>
      <c r="AL19" s="647"/>
      <c r="AM19" s="647"/>
      <c r="AN19" s="647"/>
      <c r="AO19" s="647"/>
      <c r="AP19" s="647"/>
      <c r="AQ19" s="647"/>
      <c r="AR19" s="647"/>
      <c r="AS19" s="647"/>
      <c r="AT19" s="647"/>
      <c r="AU19" s="647"/>
      <c r="AV19" s="647"/>
      <c r="AW19" s="647"/>
      <c r="AX19" s="647"/>
      <c r="AY19" s="647"/>
      <c r="AZ19" s="647"/>
      <c r="BA19" s="647"/>
      <c r="BB19" s="647"/>
      <c r="BC19" s="647"/>
      <c r="BD19" s="647"/>
      <c r="BE19" s="647"/>
      <c r="BF19" s="647"/>
      <c r="BG19" s="647"/>
      <c r="BH19" s="647"/>
      <c r="BI19" s="647"/>
      <c r="BJ19" s="647"/>
      <c r="BK19" s="647"/>
      <c r="BL19" s="647"/>
      <c r="BM19" s="647"/>
      <c r="BN19" s="647"/>
      <c r="BO19" s="647"/>
      <c r="BP19" s="647"/>
      <c r="BQ19" s="647"/>
      <c r="BR19" s="647"/>
      <c r="BS19" s="647"/>
      <c r="BT19" s="647"/>
      <c r="BU19" s="647"/>
      <c r="BV19" s="647"/>
      <c r="BW19" s="647"/>
      <c r="BX19" s="647"/>
      <c r="BY19" s="647"/>
      <c r="BZ19" s="647"/>
      <c r="CA19" s="647"/>
      <c r="CB19" s="647"/>
      <c r="CC19" s="647"/>
      <c r="CD19" s="647"/>
      <c r="CE19" s="647"/>
      <c r="CF19" s="647"/>
      <c r="CG19" s="647"/>
      <c r="CH19" s="647"/>
      <c r="CI19" s="647"/>
      <c r="CJ19" s="647"/>
      <c r="CK19" s="647"/>
      <c r="CL19" s="647"/>
      <c r="CM19" s="647"/>
      <c r="CN19" s="647"/>
    </row>
    <row r="20" spans="1:92">
      <c r="A20" s="647" t="s">
        <v>1007</v>
      </c>
      <c r="B20" s="647" t="s">
        <v>1007</v>
      </c>
      <c r="C20" s="647" t="s">
        <v>1007</v>
      </c>
      <c r="D20" s="647" t="s">
        <v>1007</v>
      </c>
      <c r="F20" s="647"/>
      <c r="G20" s="647"/>
      <c r="H20" s="647"/>
      <c r="I20" s="647"/>
      <c r="J20" s="647"/>
      <c r="K20" s="647"/>
      <c r="L20" s="647"/>
      <c r="M20" s="647"/>
      <c r="N20" s="647"/>
      <c r="O20" s="647"/>
      <c r="P20" s="647"/>
      <c r="Q20" s="647"/>
      <c r="R20" s="647"/>
      <c r="S20" s="647"/>
      <c r="T20" s="647"/>
      <c r="U20" s="647"/>
      <c r="V20" s="647"/>
      <c r="W20" s="647"/>
      <c r="X20" s="647"/>
      <c r="Y20" s="647"/>
      <c r="Z20" s="647"/>
      <c r="AA20" s="647"/>
      <c r="AB20" s="647"/>
      <c r="AC20" s="647"/>
      <c r="AD20" s="647"/>
      <c r="AE20" s="647"/>
      <c r="AF20" s="647"/>
      <c r="AG20" s="647"/>
      <c r="AH20" s="647"/>
      <c r="AI20" s="647"/>
      <c r="AJ20" s="647"/>
      <c r="AK20" s="647"/>
      <c r="AL20" s="647"/>
      <c r="AM20" s="647"/>
      <c r="AN20" s="729"/>
      <c r="AO20" s="729"/>
      <c r="AP20" s="729"/>
      <c r="AQ20" s="729"/>
      <c r="AR20" s="729"/>
      <c r="AS20" s="729"/>
      <c r="AT20" s="729"/>
      <c r="AU20" s="729"/>
      <c r="AV20" s="729"/>
      <c r="AW20" s="729"/>
      <c r="AX20" s="729"/>
      <c r="AY20" s="729"/>
      <c r="AZ20" s="729"/>
      <c r="BA20" s="729"/>
      <c r="BB20" s="729"/>
      <c r="BC20" s="729"/>
      <c r="BD20" s="729"/>
      <c r="BE20" s="729"/>
      <c r="BF20" s="729"/>
      <c r="BG20" s="729"/>
      <c r="BH20" s="729"/>
      <c r="BI20" s="729"/>
      <c r="BJ20" s="729"/>
      <c r="BK20" s="729"/>
      <c r="BL20" s="729"/>
      <c r="BM20" s="729"/>
      <c r="BN20" s="729"/>
      <c r="BO20" s="729"/>
      <c r="BP20" s="729"/>
      <c r="BQ20" s="729"/>
      <c r="BR20" s="729"/>
      <c r="BS20" s="729"/>
      <c r="BT20" s="729"/>
      <c r="BU20" s="729"/>
      <c r="BV20" s="729"/>
      <c r="BW20" s="729"/>
      <c r="BX20" s="729"/>
      <c r="BY20" s="729"/>
      <c r="BZ20" s="729"/>
      <c r="CA20" s="729"/>
      <c r="CB20" s="729"/>
      <c r="CC20" s="729"/>
      <c r="CD20" s="729"/>
      <c r="CE20" s="729"/>
      <c r="CF20" s="729"/>
      <c r="CG20" s="729"/>
      <c r="CH20" s="729"/>
      <c r="CI20" s="729"/>
      <c r="CJ20" s="729"/>
      <c r="CK20" s="729"/>
      <c r="CL20" s="729"/>
      <c r="CM20" s="729"/>
      <c r="CN20" s="729"/>
    </row>
    <row r="21" spans="1:92">
      <c r="A21" s="646" t="s">
        <v>1001</v>
      </c>
      <c r="B21" s="647"/>
      <c r="C21" s="647"/>
      <c r="D21" s="647"/>
      <c r="F21" s="647"/>
      <c r="G21" s="647"/>
      <c r="H21" s="647"/>
      <c r="I21" s="647"/>
      <c r="J21" s="647"/>
      <c r="K21" s="647"/>
      <c r="L21" s="647"/>
      <c r="M21" s="647"/>
      <c r="N21" s="647"/>
      <c r="O21" s="647"/>
      <c r="P21" s="647"/>
      <c r="Q21" s="647"/>
      <c r="R21" s="647"/>
      <c r="S21" s="647"/>
      <c r="T21" s="647"/>
      <c r="U21" s="647"/>
      <c r="V21" s="647"/>
      <c r="W21" s="647"/>
      <c r="X21" s="647"/>
      <c r="Y21" s="647"/>
      <c r="Z21" s="647"/>
      <c r="AA21" s="647"/>
      <c r="AB21" s="647"/>
      <c r="AC21" s="647"/>
      <c r="AD21" s="647"/>
      <c r="AE21" s="647"/>
      <c r="AF21" s="647"/>
      <c r="AG21" s="647"/>
      <c r="AH21" s="647"/>
      <c r="AI21" s="647"/>
      <c r="AJ21" s="647"/>
      <c r="AK21" s="647"/>
      <c r="AL21" s="647"/>
      <c r="AM21" s="647"/>
      <c r="AN21" s="647"/>
      <c r="AO21" s="647"/>
      <c r="AP21" s="647"/>
      <c r="AQ21" s="647"/>
      <c r="AR21" s="647"/>
      <c r="AS21" s="647"/>
      <c r="AT21" s="647"/>
      <c r="AU21" s="647"/>
      <c r="AV21" s="647"/>
      <c r="AW21" s="647"/>
      <c r="AX21" s="647"/>
      <c r="AY21" s="647"/>
      <c r="AZ21" s="647"/>
      <c r="BA21" s="647"/>
      <c r="BB21" s="647"/>
      <c r="BC21" s="647"/>
      <c r="BD21" s="647"/>
      <c r="BE21" s="647"/>
      <c r="BF21" s="647"/>
      <c r="BG21" s="647"/>
      <c r="BH21" s="647"/>
      <c r="BI21" s="647"/>
      <c r="BJ21" s="647"/>
      <c r="BK21" s="647"/>
      <c r="BL21" s="647"/>
      <c r="BM21" s="647"/>
      <c r="BN21" s="647"/>
      <c r="BO21" s="647"/>
      <c r="BP21" s="647"/>
      <c r="BQ21" s="647"/>
      <c r="BR21" s="647"/>
      <c r="BS21" s="647"/>
      <c r="BT21" s="647"/>
      <c r="BU21" s="647"/>
      <c r="BV21" s="647"/>
      <c r="BW21" s="647"/>
      <c r="BX21" s="647"/>
      <c r="BY21" s="647"/>
      <c r="BZ21" s="647"/>
      <c r="CA21" s="647"/>
      <c r="CB21" s="647"/>
      <c r="CC21" s="647"/>
      <c r="CD21" s="647"/>
      <c r="CE21" s="647"/>
      <c r="CF21" s="647"/>
      <c r="CG21" s="647"/>
      <c r="CH21" s="647"/>
      <c r="CI21" s="647"/>
      <c r="CJ21" s="647"/>
      <c r="CK21" s="647"/>
      <c r="CL21" s="647"/>
      <c r="CM21" s="647"/>
      <c r="CN21" s="647"/>
    </row>
    <row r="22" spans="1:92">
      <c r="A22" s="647"/>
      <c r="B22" s="646" t="s">
        <v>1017</v>
      </c>
      <c r="C22" s="647"/>
      <c r="D22" s="647"/>
      <c r="F22" s="647"/>
      <c r="G22" s="647"/>
      <c r="H22" s="647"/>
      <c r="I22" s="647"/>
      <c r="J22" s="647"/>
      <c r="K22" s="647"/>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7"/>
      <c r="AJ22" s="647"/>
      <c r="AK22" s="647"/>
      <c r="AL22" s="647"/>
      <c r="AM22" s="647"/>
      <c r="AN22" s="647"/>
      <c r="AO22" s="647"/>
      <c r="AP22" s="647"/>
      <c r="AQ22" s="647"/>
      <c r="AR22" s="647"/>
      <c r="AS22" s="647"/>
      <c r="AT22" s="647"/>
      <c r="AU22" s="647"/>
      <c r="AV22" s="647"/>
      <c r="AW22" s="647"/>
      <c r="AX22" s="647"/>
      <c r="AY22" s="647"/>
      <c r="AZ22" s="647"/>
      <c r="BA22" s="647"/>
      <c r="BB22" s="647"/>
      <c r="BC22" s="647"/>
      <c r="BD22" s="647"/>
      <c r="BE22" s="647"/>
      <c r="BF22" s="647"/>
      <c r="BG22" s="647"/>
      <c r="BH22" s="647"/>
      <c r="BI22" s="647"/>
      <c r="BJ22" s="647"/>
      <c r="BK22" s="647"/>
      <c r="BL22" s="647"/>
      <c r="BM22" s="647"/>
      <c r="BN22" s="647"/>
      <c r="BO22" s="647"/>
      <c r="BP22" s="647"/>
      <c r="BQ22" s="647"/>
      <c r="BR22" s="647"/>
      <c r="BS22" s="647"/>
      <c r="BT22" s="647"/>
      <c r="BU22" s="647"/>
      <c r="BV22" s="647"/>
      <c r="BW22" s="647"/>
      <c r="BX22" s="647"/>
      <c r="BY22" s="647"/>
      <c r="BZ22" s="647"/>
      <c r="CA22" s="647"/>
      <c r="CB22" s="647"/>
      <c r="CC22" s="647"/>
      <c r="CD22" s="647"/>
      <c r="CE22" s="647"/>
      <c r="CF22" s="647"/>
      <c r="CG22" s="647"/>
      <c r="CH22" s="647"/>
      <c r="CI22" s="647"/>
      <c r="CJ22" s="647"/>
      <c r="CK22" s="647"/>
      <c r="CL22" s="647"/>
      <c r="CM22" s="647"/>
      <c r="CN22" s="647"/>
    </row>
    <row r="23" spans="1:92">
      <c r="A23" s="647"/>
      <c r="B23" s="647"/>
      <c r="C23" s="647"/>
      <c r="D23" s="647"/>
      <c r="E23" s="649"/>
      <c r="F23" s="647"/>
      <c r="G23" s="647"/>
      <c r="H23" s="647"/>
      <c r="I23" s="647"/>
      <c r="J23" s="647"/>
      <c r="K23" s="647"/>
      <c r="L23" s="647"/>
      <c r="M23" s="647"/>
      <c r="N23" s="647"/>
      <c r="O23" s="647"/>
      <c r="P23" s="647"/>
      <c r="Q23" s="647"/>
      <c r="R23" s="647"/>
      <c r="S23" s="647"/>
      <c r="T23" s="647"/>
      <c r="U23" s="647"/>
      <c r="V23" s="647"/>
      <c r="W23" s="647"/>
      <c r="X23" s="647"/>
      <c r="Y23" s="647"/>
      <c r="Z23" s="647"/>
      <c r="AA23" s="647"/>
      <c r="AB23" s="647"/>
      <c r="AC23" s="647"/>
      <c r="AD23" s="647"/>
      <c r="AE23" s="647"/>
      <c r="AF23" s="647"/>
      <c r="AG23" s="647"/>
      <c r="AH23" s="647"/>
      <c r="AI23" s="647"/>
      <c r="AJ23" s="647"/>
      <c r="AK23" s="647"/>
      <c r="AL23" s="647"/>
      <c r="AM23" s="647"/>
      <c r="AN23" s="647"/>
      <c r="AO23" s="647"/>
      <c r="AP23" s="647"/>
      <c r="AQ23" s="647"/>
      <c r="AR23" s="647"/>
      <c r="AS23" s="647"/>
      <c r="AT23" s="647"/>
      <c r="AU23" s="647"/>
      <c r="AV23" s="647"/>
      <c r="AW23" s="647"/>
      <c r="AX23" s="647"/>
      <c r="AY23" s="647"/>
      <c r="AZ23" s="647"/>
      <c r="BA23" s="647"/>
      <c r="BB23" s="647"/>
      <c r="BC23" s="647"/>
      <c r="BD23" s="647"/>
      <c r="BE23" s="647"/>
      <c r="BF23" s="647"/>
      <c r="BG23" s="647"/>
      <c r="BH23" s="647"/>
      <c r="BI23" s="647"/>
      <c r="BJ23" s="647"/>
      <c r="BK23" s="647"/>
      <c r="BL23" s="647"/>
      <c r="BM23" s="647"/>
      <c r="BN23" s="647"/>
      <c r="BO23" s="647"/>
      <c r="BP23" s="647"/>
      <c r="BQ23" s="647"/>
      <c r="BR23" s="647"/>
      <c r="BS23" s="647"/>
      <c r="BT23" s="647"/>
      <c r="BU23" s="647"/>
      <c r="BV23" s="647"/>
      <c r="BW23" s="647"/>
      <c r="BX23" s="647"/>
      <c r="BY23" s="647"/>
      <c r="BZ23" s="647"/>
      <c r="CA23" s="647"/>
      <c r="CB23" s="647"/>
      <c r="CC23" s="647"/>
      <c r="CD23" s="647"/>
      <c r="CE23" s="647"/>
      <c r="CF23" s="647"/>
      <c r="CG23" s="647"/>
      <c r="CH23" s="647"/>
      <c r="CI23" s="647"/>
      <c r="CJ23" s="647"/>
      <c r="CK23" s="647"/>
      <c r="CL23" s="647"/>
      <c r="CM23" s="647"/>
      <c r="CN23" s="647"/>
    </row>
    <row r="24" spans="1:92" ht="29.45" customHeight="1">
      <c r="A24" s="647"/>
      <c r="B24" s="661" t="s">
        <v>99</v>
      </c>
      <c r="C24" s="661" t="s">
        <v>65</v>
      </c>
      <c r="D24" s="661" t="s">
        <v>2</v>
      </c>
      <c r="E24" s="662" t="s">
        <v>2</v>
      </c>
      <c r="F24" s="647"/>
      <c r="G24" s="647"/>
      <c r="H24" s="647"/>
      <c r="I24" s="647"/>
      <c r="J24" s="647"/>
      <c r="K24" s="647"/>
      <c r="L24" s="647"/>
      <c r="M24" s="647"/>
      <c r="N24" s="647"/>
      <c r="O24" s="647"/>
      <c r="P24" s="647"/>
      <c r="Q24" s="647"/>
      <c r="R24" s="647"/>
      <c r="S24" s="647"/>
      <c r="T24" s="647"/>
      <c r="U24" s="647"/>
      <c r="V24" s="647"/>
      <c r="W24" s="647"/>
      <c r="X24" s="647"/>
      <c r="Y24" s="647"/>
      <c r="Z24" s="647"/>
      <c r="AA24" s="647"/>
      <c r="AB24" s="647"/>
      <c r="AC24" s="647"/>
      <c r="AD24" s="647"/>
      <c r="AE24" s="647"/>
      <c r="AF24" s="647"/>
      <c r="AG24" s="647"/>
      <c r="AH24" s="647"/>
      <c r="AI24" s="647"/>
      <c r="AJ24" s="647"/>
      <c r="AK24" s="647"/>
      <c r="AL24" s="647"/>
      <c r="AM24" s="647"/>
      <c r="AN24" s="647"/>
      <c r="AO24" s="647"/>
      <c r="AP24" s="647"/>
      <c r="AQ24" s="647"/>
      <c r="AR24" s="647"/>
      <c r="AS24" s="647"/>
      <c r="AT24" s="647"/>
      <c r="AU24" s="647"/>
      <c r="AV24" s="647"/>
      <c r="AW24" s="647"/>
      <c r="AX24" s="647"/>
      <c r="AY24" s="647"/>
      <c r="AZ24" s="647"/>
      <c r="BA24" s="647"/>
      <c r="BB24" s="647"/>
      <c r="BC24" s="647"/>
      <c r="BD24" s="647"/>
      <c r="BE24" s="647"/>
      <c r="BF24" s="647"/>
      <c r="BG24" s="647"/>
      <c r="BH24" s="647"/>
      <c r="BI24" s="647"/>
      <c r="BJ24" s="647"/>
      <c r="BK24" s="647"/>
      <c r="BL24" s="647"/>
      <c r="BM24" s="647"/>
      <c r="BN24" s="647"/>
      <c r="BO24" s="647"/>
      <c r="BP24" s="647"/>
      <c r="BQ24" s="647"/>
      <c r="BR24" s="647"/>
      <c r="BS24" s="647"/>
      <c r="BT24" s="647"/>
      <c r="BU24" s="647"/>
      <c r="BV24" s="647"/>
      <c r="BW24" s="647"/>
      <c r="BX24" s="647"/>
      <c r="BY24" s="647"/>
      <c r="BZ24" s="647"/>
      <c r="CA24" s="647"/>
      <c r="CB24" s="647"/>
      <c r="CC24" s="647"/>
      <c r="CD24" s="647"/>
      <c r="CE24" s="647"/>
      <c r="CF24" s="647"/>
      <c r="CG24" s="647"/>
      <c r="CH24" s="647"/>
      <c r="CI24" s="647"/>
      <c r="CJ24" s="647"/>
      <c r="CK24" s="647"/>
      <c r="CL24" s="647"/>
      <c r="CM24" s="647"/>
      <c r="CN24" s="647"/>
    </row>
    <row r="25" spans="1:92">
      <c r="A25" s="647"/>
      <c r="B25" s="663" t="s">
        <v>1003</v>
      </c>
      <c r="C25" s="663" t="s">
        <v>368</v>
      </c>
      <c r="D25" s="665">
        <v>1945497.6000000001</v>
      </c>
      <c r="E25" s="665"/>
      <c r="F25" s="647"/>
      <c r="G25" s="647"/>
      <c r="H25" s="647"/>
      <c r="I25" s="647"/>
      <c r="J25" s="647"/>
      <c r="K25" s="647"/>
      <c r="L25" s="647"/>
      <c r="M25" s="647"/>
      <c r="N25" s="647"/>
      <c r="O25" s="647"/>
      <c r="P25" s="647"/>
      <c r="Q25" s="647"/>
      <c r="R25" s="647"/>
      <c r="S25" s="647"/>
      <c r="T25" s="647"/>
      <c r="U25" s="647"/>
      <c r="V25" s="647"/>
      <c r="W25" s="647"/>
      <c r="X25" s="647"/>
      <c r="Y25" s="647"/>
      <c r="Z25" s="647"/>
      <c r="AA25" s="647"/>
      <c r="AB25" s="647"/>
      <c r="AC25" s="647"/>
      <c r="AD25" s="647"/>
      <c r="AE25" s="647"/>
      <c r="AF25" s="647"/>
      <c r="AG25" s="647"/>
      <c r="AH25" s="647"/>
      <c r="AI25" s="647"/>
      <c r="AJ25" s="647"/>
      <c r="AK25" s="647"/>
      <c r="AL25" s="647"/>
      <c r="AM25" s="647"/>
      <c r="AN25" s="647"/>
      <c r="AO25" s="647"/>
      <c r="AP25" s="647"/>
      <c r="AQ25" s="647"/>
      <c r="AR25" s="647"/>
      <c r="AS25" s="647"/>
      <c r="AT25" s="647"/>
      <c r="AU25" s="647"/>
      <c r="AV25" s="647"/>
      <c r="AW25" s="647"/>
      <c r="AX25" s="647"/>
      <c r="AY25" s="647"/>
      <c r="AZ25" s="647"/>
      <c r="BA25" s="647"/>
      <c r="BB25" s="647"/>
      <c r="BC25" s="647"/>
      <c r="BD25" s="647"/>
      <c r="BE25" s="647"/>
      <c r="BF25" s="647"/>
      <c r="BG25" s="647"/>
      <c r="BH25" s="647"/>
      <c r="BI25" s="647"/>
      <c r="BJ25" s="647"/>
      <c r="BK25" s="647"/>
      <c r="BL25" s="647"/>
      <c r="BM25" s="647"/>
      <c r="BN25" s="647"/>
      <c r="BO25" s="647"/>
      <c r="BP25" s="647"/>
      <c r="BQ25" s="647"/>
      <c r="BR25" s="647"/>
      <c r="BS25" s="647"/>
      <c r="BT25" s="647"/>
      <c r="BU25" s="647"/>
      <c r="BV25" s="647"/>
      <c r="BW25" s="647"/>
      <c r="BX25" s="647"/>
      <c r="BY25" s="647"/>
      <c r="BZ25" s="647"/>
      <c r="CA25" s="647"/>
      <c r="CB25" s="647"/>
      <c r="CC25" s="647"/>
      <c r="CD25" s="647"/>
      <c r="CE25" s="647"/>
      <c r="CF25" s="647"/>
      <c r="CG25" s="647"/>
      <c r="CH25" s="647"/>
      <c r="CI25" s="647"/>
      <c r="CJ25" s="647"/>
      <c r="CK25" s="647"/>
      <c r="CL25" s="647"/>
      <c r="CM25" s="647"/>
      <c r="CN25" s="647"/>
    </row>
    <row r="26" spans="1:92">
      <c r="A26" s="647"/>
      <c r="B26" s="663" t="s">
        <v>1004</v>
      </c>
      <c r="C26" s="663" t="s">
        <v>367</v>
      </c>
      <c r="D26" s="665">
        <v>2611487.13</v>
      </c>
      <c r="E26" s="665">
        <v>26382862.905271236</v>
      </c>
      <c r="F26" s="647"/>
      <c r="G26" s="647"/>
      <c r="H26" s="647"/>
      <c r="I26" s="647"/>
      <c r="J26" s="647"/>
      <c r="K26" s="647"/>
      <c r="L26" s="647"/>
      <c r="M26" s="647"/>
      <c r="N26" s="647"/>
      <c r="O26" s="647"/>
      <c r="P26" s="647"/>
      <c r="Q26" s="647"/>
      <c r="R26" s="647"/>
      <c r="S26" s="647"/>
      <c r="T26" s="647"/>
      <c r="U26" s="647"/>
      <c r="V26" s="647"/>
      <c r="W26" s="647"/>
      <c r="X26" s="647"/>
      <c r="Y26" s="647"/>
      <c r="Z26" s="647"/>
      <c r="AA26" s="647"/>
      <c r="AB26" s="647"/>
      <c r="AC26" s="647"/>
      <c r="AD26" s="647"/>
      <c r="AE26" s="647"/>
      <c r="AF26" s="647"/>
      <c r="AG26" s="647"/>
      <c r="AH26" s="647"/>
      <c r="AI26" s="647"/>
      <c r="AJ26" s="647"/>
      <c r="AK26" s="647"/>
      <c r="AL26" s="647"/>
      <c r="AM26" s="647"/>
      <c r="AN26" s="647"/>
      <c r="AO26" s="647"/>
      <c r="AP26" s="647"/>
      <c r="AQ26" s="647"/>
      <c r="AR26" s="647"/>
      <c r="AS26" s="647"/>
      <c r="AT26" s="647"/>
      <c r="AU26" s="647"/>
      <c r="AV26" s="647"/>
      <c r="AW26" s="647"/>
      <c r="AX26" s="647"/>
      <c r="AY26" s="647"/>
      <c r="AZ26" s="647"/>
      <c r="BA26" s="647"/>
      <c r="BB26" s="647"/>
      <c r="BC26" s="647"/>
      <c r="BD26" s="647"/>
      <c r="BE26" s="647"/>
      <c r="BF26" s="647"/>
      <c r="BG26" s="647"/>
      <c r="BH26" s="647"/>
      <c r="BI26" s="647"/>
      <c r="BJ26" s="647"/>
      <c r="BK26" s="647"/>
      <c r="BL26" s="647"/>
      <c r="BM26" s="647"/>
      <c r="BN26" s="647"/>
      <c r="BO26" s="647"/>
      <c r="BP26" s="647"/>
      <c r="BQ26" s="647"/>
      <c r="BR26" s="647"/>
      <c r="BS26" s="647"/>
      <c r="BT26" s="647"/>
      <c r="BU26" s="647"/>
      <c r="BV26" s="647"/>
      <c r="BW26" s="647"/>
      <c r="BX26" s="647"/>
      <c r="BY26" s="647"/>
      <c r="BZ26" s="647"/>
      <c r="CA26" s="647"/>
      <c r="CB26" s="647"/>
      <c r="CC26" s="647"/>
      <c r="CD26" s="647"/>
      <c r="CE26" s="647"/>
      <c r="CF26" s="647"/>
      <c r="CG26" s="647"/>
      <c r="CH26" s="647"/>
      <c r="CI26" s="647"/>
      <c r="CJ26" s="647"/>
      <c r="CK26" s="647"/>
      <c r="CL26" s="647"/>
      <c r="CM26" s="647"/>
      <c r="CN26" s="647"/>
    </row>
    <row r="27" spans="1:92">
      <c r="A27" s="647"/>
      <c r="B27" s="663" t="s">
        <v>1005</v>
      </c>
      <c r="C27" s="663" t="s">
        <v>1018</v>
      </c>
      <c r="D27" s="664">
        <v>0</v>
      </c>
      <c r="E27" s="665"/>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c r="AE27" s="647"/>
      <c r="AF27" s="647"/>
      <c r="AG27" s="647"/>
      <c r="AH27" s="647"/>
      <c r="AI27" s="647"/>
      <c r="AJ27" s="647"/>
      <c r="AK27" s="647"/>
      <c r="AL27" s="647"/>
      <c r="AM27" s="647"/>
      <c r="AN27" s="647"/>
      <c r="AO27" s="647"/>
      <c r="AP27" s="647"/>
      <c r="AQ27" s="647"/>
      <c r="AR27" s="647"/>
      <c r="AS27" s="647"/>
      <c r="AT27" s="647"/>
      <c r="AU27" s="647"/>
      <c r="AV27" s="647"/>
      <c r="AW27" s="647"/>
      <c r="AX27" s="647"/>
      <c r="AY27" s="647"/>
      <c r="AZ27" s="647"/>
      <c r="BA27" s="647"/>
      <c r="BB27" s="647"/>
      <c r="BC27" s="647"/>
      <c r="BD27" s="647"/>
      <c r="BE27" s="647"/>
      <c r="BF27" s="647"/>
      <c r="BG27" s="647"/>
      <c r="BH27" s="647"/>
      <c r="BI27" s="647"/>
      <c r="BJ27" s="647"/>
      <c r="BK27" s="647"/>
      <c r="BL27" s="647"/>
      <c r="BM27" s="647"/>
      <c r="BN27" s="647"/>
      <c r="BO27" s="647"/>
      <c r="BP27" s="647"/>
      <c r="BQ27" s="647"/>
      <c r="BR27" s="647"/>
      <c r="BS27" s="647"/>
      <c r="BT27" s="647"/>
      <c r="BU27" s="647"/>
      <c r="BV27" s="647"/>
      <c r="BW27" s="647"/>
      <c r="BX27" s="647"/>
      <c r="BY27" s="647"/>
      <c r="BZ27" s="647"/>
      <c r="CA27" s="647"/>
      <c r="CB27" s="647"/>
      <c r="CC27" s="647"/>
      <c r="CD27" s="647"/>
      <c r="CE27" s="647"/>
      <c r="CF27" s="647"/>
      <c r="CG27" s="647"/>
      <c r="CH27" s="647"/>
      <c r="CI27" s="647"/>
      <c r="CJ27" s="647"/>
      <c r="CK27" s="647"/>
      <c r="CL27" s="647"/>
      <c r="CM27" s="647"/>
      <c r="CN27" s="647"/>
    </row>
    <row r="28" spans="1:92">
      <c r="A28" s="647"/>
      <c r="B28" s="663" t="s">
        <v>1006</v>
      </c>
      <c r="C28" s="663"/>
      <c r="D28" s="664">
        <v>0</v>
      </c>
      <c r="E28" s="665"/>
      <c r="F28" s="647"/>
      <c r="G28" s="647"/>
      <c r="H28" s="647"/>
      <c r="I28" s="647"/>
      <c r="J28" s="647"/>
      <c r="K28" s="647"/>
      <c r="L28" s="647"/>
      <c r="M28" s="647"/>
      <c r="N28" s="647"/>
      <c r="O28" s="647"/>
      <c r="P28" s="647"/>
      <c r="Q28" s="647"/>
      <c r="R28" s="647"/>
      <c r="S28" s="647"/>
      <c r="T28" s="647"/>
      <c r="U28" s="647"/>
      <c r="V28" s="647"/>
      <c r="W28" s="647"/>
      <c r="X28" s="647"/>
      <c r="Y28" s="647"/>
      <c r="Z28" s="647"/>
      <c r="AA28" s="647"/>
      <c r="AB28" s="647"/>
      <c r="AC28" s="647"/>
      <c r="AD28" s="647"/>
      <c r="AE28" s="647"/>
      <c r="AF28" s="647"/>
      <c r="AG28" s="647"/>
      <c r="AH28" s="647"/>
      <c r="AI28" s="647"/>
      <c r="AJ28" s="647"/>
      <c r="AK28" s="647"/>
      <c r="AL28" s="647"/>
      <c r="AM28" s="647"/>
      <c r="AN28" s="647"/>
      <c r="AO28" s="647"/>
      <c r="AP28" s="647"/>
      <c r="AQ28" s="647"/>
      <c r="AR28" s="647"/>
      <c r="AS28" s="647"/>
      <c r="AT28" s="647"/>
      <c r="AU28" s="647"/>
      <c r="AV28" s="647"/>
      <c r="AW28" s="647"/>
      <c r="AX28" s="647"/>
      <c r="AY28" s="647"/>
      <c r="AZ28" s="647"/>
      <c r="BA28" s="647"/>
      <c r="BB28" s="647"/>
      <c r="BC28" s="647"/>
      <c r="BD28" s="647"/>
      <c r="BE28" s="647"/>
      <c r="BF28" s="647"/>
      <c r="BG28" s="647"/>
      <c r="BH28" s="647"/>
      <c r="BI28" s="647"/>
      <c r="BJ28" s="647"/>
      <c r="BK28" s="647"/>
      <c r="BL28" s="647"/>
      <c r="BM28" s="647"/>
      <c r="BN28" s="647"/>
      <c r="BO28" s="647"/>
      <c r="BP28" s="647"/>
      <c r="BQ28" s="647"/>
      <c r="BR28" s="647"/>
      <c r="BS28" s="647"/>
      <c r="BT28" s="647"/>
      <c r="BU28" s="647"/>
      <c r="BV28" s="647"/>
      <c r="BW28" s="647"/>
      <c r="BX28" s="647"/>
      <c r="BY28" s="647"/>
      <c r="BZ28" s="647"/>
      <c r="CA28" s="647"/>
      <c r="CB28" s="647"/>
      <c r="CC28" s="647"/>
      <c r="CD28" s="647"/>
      <c r="CE28" s="647"/>
      <c r="CF28" s="647"/>
      <c r="CG28" s="647"/>
      <c r="CH28" s="647"/>
      <c r="CI28" s="647"/>
      <c r="CJ28" s="647"/>
      <c r="CK28" s="647"/>
      <c r="CL28" s="647"/>
      <c r="CM28" s="647"/>
      <c r="CN28" s="647"/>
    </row>
    <row r="29" spans="1:92">
      <c r="A29" s="647"/>
      <c r="B29" s="663" t="s">
        <v>1007</v>
      </c>
      <c r="C29" s="666" t="s">
        <v>95</v>
      </c>
      <c r="D29" s="664">
        <f>SUM(D25:D28)</f>
        <v>4556984.7300000004</v>
      </c>
      <c r="E29" s="665">
        <f>SUM(E25:E28)</f>
        <v>26382862.905271236</v>
      </c>
      <c r="F29" s="647"/>
      <c r="G29" s="647"/>
      <c r="H29" s="647"/>
      <c r="I29" s="647"/>
      <c r="J29" s="647"/>
      <c r="K29" s="647"/>
      <c r="L29" s="647"/>
      <c r="M29" s="647"/>
      <c r="N29" s="647"/>
      <c r="O29" s="647"/>
      <c r="P29" s="647"/>
      <c r="Q29" s="647"/>
      <c r="R29" s="647"/>
      <c r="S29" s="647"/>
      <c r="T29" s="647"/>
      <c r="U29" s="647"/>
      <c r="V29" s="647"/>
      <c r="W29" s="647"/>
      <c r="X29" s="647"/>
      <c r="Y29" s="647"/>
      <c r="Z29" s="647"/>
      <c r="AA29" s="647"/>
      <c r="AB29" s="647"/>
      <c r="AC29" s="647"/>
      <c r="AD29" s="647"/>
      <c r="AE29" s="647"/>
      <c r="AF29" s="647"/>
      <c r="AG29" s="647"/>
      <c r="AH29" s="647"/>
      <c r="AI29" s="647"/>
      <c r="AJ29" s="647"/>
      <c r="AK29" s="647"/>
      <c r="AL29" s="647"/>
      <c r="AM29" s="647"/>
      <c r="AN29" s="647"/>
      <c r="AO29" s="647"/>
      <c r="AP29" s="647"/>
      <c r="AQ29" s="647"/>
      <c r="AR29" s="647"/>
      <c r="AS29" s="647"/>
      <c r="AT29" s="647"/>
      <c r="AU29" s="647"/>
      <c r="AV29" s="647"/>
      <c r="AW29" s="647"/>
      <c r="AX29" s="647"/>
      <c r="AY29" s="647"/>
      <c r="AZ29" s="647"/>
      <c r="BA29" s="647"/>
      <c r="BB29" s="647"/>
      <c r="BC29" s="647"/>
      <c r="BD29" s="647"/>
      <c r="BE29" s="647"/>
      <c r="BF29" s="647"/>
      <c r="BG29" s="647"/>
      <c r="BH29" s="647"/>
      <c r="BI29" s="647"/>
      <c r="BJ29" s="647"/>
      <c r="BK29" s="647"/>
      <c r="BL29" s="647"/>
      <c r="BM29" s="647"/>
      <c r="BN29" s="647"/>
      <c r="BO29" s="647"/>
      <c r="BP29" s="647"/>
      <c r="BQ29" s="647"/>
      <c r="BR29" s="647"/>
      <c r="BS29" s="647"/>
      <c r="BT29" s="647"/>
      <c r="BU29" s="647"/>
      <c r="BV29" s="647"/>
      <c r="BW29" s="647"/>
      <c r="BX29" s="647"/>
      <c r="BY29" s="647"/>
      <c r="BZ29" s="647"/>
      <c r="CA29" s="647"/>
      <c r="CB29" s="647"/>
      <c r="CC29" s="647"/>
      <c r="CD29" s="647"/>
      <c r="CE29" s="647"/>
      <c r="CF29" s="647"/>
      <c r="CG29" s="647"/>
      <c r="CH29" s="647"/>
      <c r="CI29" s="647"/>
      <c r="CJ29" s="647"/>
      <c r="CK29" s="647"/>
      <c r="CL29" s="647"/>
      <c r="CM29" s="647"/>
      <c r="CN29" s="647"/>
    </row>
    <row r="30" spans="1:92">
      <c r="A30" s="647" t="s">
        <v>1007</v>
      </c>
      <c r="B30" s="647" t="s">
        <v>1007</v>
      </c>
      <c r="C30" s="647" t="s">
        <v>1007</v>
      </c>
      <c r="D30" s="647" t="s">
        <v>1007</v>
      </c>
      <c r="F30" s="647"/>
      <c r="G30" s="647"/>
      <c r="H30" s="647"/>
      <c r="I30" s="647"/>
      <c r="J30" s="647"/>
      <c r="K30" s="647"/>
      <c r="L30" s="647"/>
      <c r="M30" s="647"/>
      <c r="N30" s="647"/>
      <c r="O30" s="647"/>
      <c r="P30" s="647"/>
      <c r="Q30" s="647"/>
      <c r="R30" s="647"/>
      <c r="S30" s="647"/>
      <c r="T30" s="647"/>
      <c r="U30" s="647"/>
      <c r="V30" s="647"/>
      <c r="W30" s="647"/>
      <c r="X30" s="647"/>
      <c r="Y30" s="647"/>
      <c r="Z30" s="647"/>
      <c r="AA30" s="647"/>
      <c r="AB30" s="647"/>
      <c r="AC30" s="647"/>
      <c r="AD30" s="647"/>
      <c r="AE30" s="647"/>
      <c r="AF30" s="647"/>
      <c r="AG30" s="647"/>
      <c r="AH30" s="647"/>
      <c r="AI30" s="647"/>
      <c r="AJ30" s="647"/>
      <c r="AK30" s="647"/>
      <c r="AL30" s="647"/>
      <c r="AM30" s="647"/>
      <c r="AN30" s="729"/>
      <c r="AO30" s="729"/>
      <c r="AP30" s="729"/>
      <c r="AQ30" s="729"/>
      <c r="AR30" s="729"/>
      <c r="AS30" s="729"/>
      <c r="AT30" s="729"/>
      <c r="AU30" s="729"/>
      <c r="AV30" s="729"/>
      <c r="AW30" s="729"/>
      <c r="AX30" s="729"/>
      <c r="AY30" s="729"/>
      <c r="AZ30" s="729"/>
      <c r="BA30" s="729"/>
      <c r="BB30" s="729"/>
      <c r="BC30" s="729"/>
      <c r="BD30" s="729"/>
      <c r="BE30" s="729"/>
      <c r="BF30" s="729"/>
      <c r="BG30" s="729"/>
      <c r="BH30" s="729"/>
      <c r="BI30" s="729"/>
      <c r="BJ30" s="729"/>
      <c r="BK30" s="729"/>
      <c r="BL30" s="729"/>
      <c r="BM30" s="729"/>
      <c r="BN30" s="729"/>
      <c r="BO30" s="729"/>
      <c r="BP30" s="729"/>
      <c r="BQ30" s="729"/>
      <c r="BR30" s="729"/>
      <c r="BS30" s="729"/>
      <c r="BT30" s="729"/>
      <c r="BU30" s="729"/>
      <c r="BV30" s="729"/>
      <c r="BW30" s="729"/>
      <c r="BX30" s="729"/>
      <c r="BY30" s="729"/>
      <c r="BZ30" s="729"/>
      <c r="CA30" s="729"/>
      <c r="CB30" s="729"/>
      <c r="CC30" s="729"/>
      <c r="CD30" s="729"/>
      <c r="CE30" s="729"/>
      <c r="CF30" s="729"/>
      <c r="CG30" s="729"/>
      <c r="CH30" s="729"/>
      <c r="CI30" s="729"/>
      <c r="CJ30" s="729"/>
      <c r="CK30" s="729"/>
      <c r="CL30" s="729"/>
      <c r="CM30" s="729"/>
      <c r="CN30" s="729"/>
    </row>
    <row r="31" spans="1:92">
      <c r="A31" s="646" t="s">
        <v>1001</v>
      </c>
      <c r="B31" s="647"/>
      <c r="C31" s="647"/>
      <c r="D31" s="647"/>
      <c r="F31" s="647"/>
      <c r="G31" s="647"/>
      <c r="H31" s="647"/>
      <c r="I31" s="647"/>
      <c r="J31" s="647"/>
      <c r="K31" s="647"/>
      <c r="L31" s="647"/>
      <c r="M31" s="647"/>
      <c r="N31" s="647"/>
      <c r="O31" s="647"/>
      <c r="P31" s="647"/>
      <c r="Q31" s="647"/>
      <c r="R31" s="647"/>
      <c r="S31" s="647"/>
      <c r="T31" s="647"/>
      <c r="U31" s="647"/>
      <c r="V31" s="647"/>
      <c r="W31" s="647"/>
      <c r="X31" s="647"/>
      <c r="Y31" s="647"/>
      <c r="Z31" s="647"/>
      <c r="AA31" s="647"/>
      <c r="AB31" s="647"/>
      <c r="AC31" s="647"/>
      <c r="AD31" s="647"/>
      <c r="AE31" s="647"/>
      <c r="AF31" s="647"/>
      <c r="AG31" s="647"/>
      <c r="AH31" s="647"/>
      <c r="AI31" s="647"/>
      <c r="AJ31" s="647"/>
      <c r="AK31" s="647"/>
      <c r="AL31" s="647"/>
      <c r="AM31" s="647"/>
      <c r="AN31" s="647"/>
      <c r="AO31" s="647"/>
      <c r="AP31" s="647"/>
      <c r="AQ31" s="647"/>
      <c r="AR31" s="647"/>
      <c r="AS31" s="647"/>
      <c r="AT31" s="647"/>
      <c r="AU31" s="647"/>
      <c r="AV31" s="647"/>
      <c r="AW31" s="647"/>
      <c r="AX31" s="647"/>
      <c r="AY31" s="647"/>
      <c r="AZ31" s="647"/>
      <c r="BA31" s="647"/>
      <c r="BB31" s="647"/>
      <c r="BC31" s="647"/>
      <c r="BD31" s="647"/>
      <c r="BE31" s="647"/>
      <c r="BF31" s="647"/>
      <c r="BG31" s="647"/>
      <c r="BH31" s="647"/>
      <c r="BI31" s="647"/>
      <c r="BJ31" s="647"/>
      <c r="BK31" s="647"/>
      <c r="BL31" s="647"/>
      <c r="BM31" s="647"/>
      <c r="BN31" s="647"/>
      <c r="BO31" s="647"/>
      <c r="BP31" s="647"/>
      <c r="BQ31" s="647"/>
      <c r="BR31" s="647"/>
      <c r="BS31" s="647"/>
      <c r="BT31" s="647"/>
      <c r="BU31" s="647"/>
      <c r="BV31" s="647"/>
      <c r="BW31" s="647"/>
      <c r="BX31" s="647"/>
      <c r="BY31" s="647"/>
      <c r="BZ31" s="647"/>
      <c r="CA31" s="647"/>
      <c r="CB31" s="647"/>
      <c r="CC31" s="647"/>
      <c r="CD31" s="647"/>
      <c r="CE31" s="647"/>
      <c r="CF31" s="647"/>
      <c r="CG31" s="647"/>
      <c r="CH31" s="647"/>
      <c r="CI31" s="647"/>
      <c r="CJ31" s="647"/>
      <c r="CK31" s="647"/>
      <c r="CL31" s="647"/>
      <c r="CM31" s="647"/>
      <c r="CN31" s="647"/>
    </row>
    <row r="32" spans="1:92">
      <c r="A32" s="647"/>
      <c r="B32" s="646" t="s">
        <v>1019</v>
      </c>
      <c r="C32" s="647"/>
      <c r="D32" s="647"/>
      <c r="F32" s="647"/>
      <c r="G32" s="647"/>
      <c r="H32" s="647"/>
      <c r="I32" s="647"/>
      <c r="J32" s="647"/>
      <c r="K32" s="647"/>
      <c r="L32" s="647"/>
      <c r="M32" s="647"/>
      <c r="N32" s="647"/>
      <c r="O32" s="647"/>
      <c r="P32" s="647"/>
      <c r="Q32" s="647"/>
      <c r="R32" s="647"/>
      <c r="S32" s="647"/>
      <c r="T32" s="647"/>
      <c r="U32" s="647"/>
      <c r="V32" s="647"/>
      <c r="W32" s="647"/>
      <c r="X32" s="647"/>
      <c r="Y32" s="647"/>
      <c r="Z32" s="647"/>
      <c r="AA32" s="647"/>
      <c r="AB32" s="647"/>
      <c r="AC32" s="647"/>
      <c r="AD32" s="647"/>
      <c r="AE32" s="647"/>
      <c r="AF32" s="647"/>
      <c r="AG32" s="647"/>
      <c r="AH32" s="647"/>
      <c r="AI32" s="647"/>
      <c r="AJ32" s="647"/>
      <c r="AK32" s="647"/>
      <c r="AL32" s="647"/>
      <c r="AM32" s="647"/>
      <c r="AN32" s="647"/>
      <c r="AO32" s="647"/>
      <c r="AP32" s="647"/>
      <c r="AQ32" s="647"/>
      <c r="AR32" s="647"/>
      <c r="AS32" s="647"/>
      <c r="AT32" s="647"/>
      <c r="AU32" s="647"/>
      <c r="AV32" s="647"/>
      <c r="AW32" s="647"/>
      <c r="AX32" s="647"/>
      <c r="AY32" s="647"/>
      <c r="AZ32" s="647"/>
      <c r="BA32" s="647"/>
      <c r="BB32" s="647"/>
      <c r="BC32" s="647"/>
      <c r="BD32" s="647"/>
      <c r="BE32" s="647"/>
      <c r="BF32" s="647"/>
      <c r="BG32" s="647"/>
      <c r="BH32" s="647"/>
      <c r="BI32" s="647"/>
      <c r="BJ32" s="647"/>
      <c r="BK32" s="647"/>
      <c r="BL32" s="647"/>
      <c r="BM32" s="647"/>
      <c r="BN32" s="647"/>
      <c r="BO32" s="647"/>
      <c r="BP32" s="647"/>
      <c r="BQ32" s="647"/>
      <c r="BR32" s="647"/>
      <c r="BS32" s="647"/>
      <c r="BT32" s="647"/>
      <c r="BU32" s="647"/>
      <c r="BV32" s="647"/>
      <c r="BW32" s="647"/>
      <c r="BX32" s="647"/>
      <c r="BY32" s="647"/>
      <c r="BZ32" s="647"/>
      <c r="CA32" s="647"/>
      <c r="CB32" s="647"/>
      <c r="CC32" s="647"/>
      <c r="CD32" s="647"/>
      <c r="CE32" s="647"/>
      <c r="CF32" s="647"/>
      <c r="CG32" s="647"/>
      <c r="CH32" s="647"/>
      <c r="CI32" s="647"/>
      <c r="CJ32" s="647"/>
      <c r="CK32" s="647"/>
      <c r="CL32" s="647"/>
      <c r="CM32" s="647"/>
      <c r="CN32" s="647"/>
    </row>
    <row r="33" spans="1:92">
      <c r="A33" s="647"/>
      <c r="B33" s="647"/>
      <c r="C33" s="647"/>
      <c r="D33" s="647"/>
      <c r="E33" s="649"/>
      <c r="F33" s="647"/>
      <c r="G33" s="647"/>
      <c r="H33" s="647"/>
      <c r="I33" s="647"/>
      <c r="J33" s="647"/>
      <c r="K33" s="647"/>
      <c r="L33" s="647"/>
      <c r="M33" s="647"/>
      <c r="N33" s="647"/>
      <c r="O33" s="647"/>
      <c r="P33" s="647"/>
      <c r="Q33" s="647"/>
      <c r="R33" s="647"/>
      <c r="S33" s="647"/>
      <c r="T33" s="647"/>
      <c r="U33" s="647"/>
      <c r="V33" s="647"/>
      <c r="W33" s="647"/>
      <c r="X33" s="647"/>
      <c r="Y33" s="647"/>
      <c r="Z33" s="647"/>
      <c r="AA33" s="647"/>
      <c r="AB33" s="647"/>
      <c r="AC33" s="647"/>
      <c r="AD33" s="647"/>
      <c r="AE33" s="647"/>
      <c r="AF33" s="647"/>
      <c r="AG33" s="647"/>
      <c r="AH33" s="647"/>
      <c r="AI33" s="647"/>
      <c r="AJ33" s="647"/>
      <c r="AK33" s="647"/>
      <c r="AL33" s="647"/>
      <c r="AM33" s="647"/>
      <c r="AN33" s="647"/>
      <c r="AO33" s="647"/>
      <c r="AP33" s="647"/>
      <c r="AQ33" s="647"/>
      <c r="AR33" s="647"/>
      <c r="AS33" s="647"/>
      <c r="AT33" s="647"/>
      <c r="AU33" s="647"/>
      <c r="AV33" s="647"/>
      <c r="AW33" s="647"/>
      <c r="AX33" s="647"/>
      <c r="AY33" s="647"/>
      <c r="AZ33" s="647"/>
      <c r="BA33" s="647"/>
      <c r="BB33" s="647"/>
      <c r="BC33" s="647"/>
      <c r="BD33" s="647"/>
      <c r="BE33" s="647"/>
      <c r="BF33" s="647"/>
      <c r="BG33" s="647"/>
      <c r="BH33" s="647"/>
      <c r="BI33" s="647"/>
      <c r="BJ33" s="647"/>
      <c r="BK33" s="647"/>
      <c r="BL33" s="647"/>
      <c r="BM33" s="647"/>
      <c r="BN33" s="647"/>
      <c r="BO33" s="647"/>
      <c r="BP33" s="647"/>
      <c r="BQ33" s="647"/>
      <c r="BR33" s="647"/>
      <c r="BS33" s="647"/>
      <c r="BT33" s="647"/>
      <c r="BU33" s="647"/>
      <c r="BV33" s="647"/>
      <c r="BW33" s="647"/>
      <c r="BX33" s="647"/>
      <c r="BY33" s="647"/>
      <c r="BZ33" s="647"/>
      <c r="CA33" s="647"/>
      <c r="CB33" s="647"/>
      <c r="CC33" s="647"/>
      <c r="CD33" s="647"/>
      <c r="CE33" s="647"/>
      <c r="CF33" s="647"/>
      <c r="CG33" s="647"/>
      <c r="CH33" s="647"/>
      <c r="CI33" s="647"/>
      <c r="CJ33" s="647"/>
      <c r="CK33" s="647"/>
      <c r="CL33" s="647"/>
      <c r="CM33" s="647"/>
      <c r="CN33" s="647"/>
    </row>
    <row r="34" spans="1:92" ht="25.9" customHeight="1">
      <c r="A34" s="647"/>
      <c r="B34" s="661" t="s">
        <v>99</v>
      </c>
      <c r="C34" s="661" t="s">
        <v>65</v>
      </c>
      <c r="D34" s="661" t="s">
        <v>2</v>
      </c>
      <c r="E34" s="662" t="s">
        <v>2</v>
      </c>
      <c r="F34" s="647"/>
      <c r="G34" s="647"/>
      <c r="H34" s="647"/>
      <c r="I34" s="647"/>
      <c r="J34" s="647"/>
      <c r="K34" s="647"/>
      <c r="L34" s="647"/>
      <c r="M34" s="647"/>
      <c r="N34" s="647"/>
      <c r="O34" s="647"/>
      <c r="P34" s="647"/>
      <c r="Q34" s="647"/>
      <c r="R34" s="647"/>
      <c r="S34" s="647"/>
      <c r="T34" s="647"/>
      <c r="U34" s="647"/>
      <c r="V34" s="647"/>
      <c r="W34" s="647"/>
      <c r="X34" s="647"/>
      <c r="Y34" s="647"/>
      <c r="Z34" s="647"/>
      <c r="AA34" s="647"/>
      <c r="AB34" s="647"/>
      <c r="AC34" s="647"/>
      <c r="AD34" s="647"/>
      <c r="AE34" s="647"/>
      <c r="AF34" s="647"/>
      <c r="AG34" s="647"/>
      <c r="AH34" s="647"/>
      <c r="AI34" s="647"/>
      <c r="AJ34" s="647"/>
      <c r="AK34" s="647"/>
      <c r="AL34" s="647"/>
      <c r="AM34" s="647"/>
      <c r="AN34" s="647"/>
      <c r="AO34" s="647"/>
      <c r="AP34" s="647"/>
      <c r="AQ34" s="647"/>
      <c r="AR34" s="647"/>
      <c r="AS34" s="647"/>
      <c r="AT34" s="647"/>
      <c r="AU34" s="647"/>
      <c r="AV34" s="647"/>
      <c r="AW34" s="647"/>
      <c r="AX34" s="647"/>
      <c r="AY34" s="647"/>
      <c r="AZ34" s="647"/>
      <c r="BA34" s="647"/>
      <c r="BB34" s="647"/>
      <c r="BC34" s="647"/>
      <c r="BD34" s="647"/>
      <c r="BE34" s="647"/>
      <c r="BF34" s="647"/>
      <c r="BG34" s="647"/>
      <c r="BH34" s="647"/>
      <c r="BI34" s="647"/>
      <c r="BJ34" s="647"/>
      <c r="BK34" s="647"/>
      <c r="BL34" s="647"/>
      <c r="BM34" s="647"/>
      <c r="BN34" s="647"/>
      <c r="BO34" s="647"/>
      <c r="BP34" s="647"/>
      <c r="BQ34" s="647"/>
      <c r="BR34" s="647"/>
      <c r="BS34" s="647"/>
      <c r="BT34" s="647"/>
      <c r="BU34" s="647"/>
      <c r="BV34" s="647"/>
      <c r="BW34" s="647"/>
      <c r="BX34" s="647"/>
      <c r="BY34" s="647"/>
      <c r="BZ34" s="647"/>
      <c r="CA34" s="647"/>
      <c r="CB34" s="647"/>
      <c r="CC34" s="647"/>
      <c r="CD34" s="647"/>
      <c r="CE34" s="647"/>
      <c r="CF34" s="647"/>
      <c r="CG34" s="647"/>
      <c r="CH34" s="647"/>
      <c r="CI34" s="647"/>
      <c r="CJ34" s="647"/>
      <c r="CK34" s="647"/>
      <c r="CL34" s="647"/>
      <c r="CM34" s="647"/>
      <c r="CN34" s="647"/>
    </row>
    <row r="35" spans="1:92" ht="36">
      <c r="A35" s="647"/>
      <c r="B35" s="663" t="s">
        <v>1003</v>
      </c>
      <c r="C35" s="663" t="s">
        <v>1020</v>
      </c>
      <c r="D35" s="664">
        <v>327462420</v>
      </c>
      <c r="E35" s="665">
        <f>+'ST1'!D13</f>
        <v>357962420</v>
      </c>
      <c r="F35" s="647"/>
      <c r="G35" s="647"/>
      <c r="H35" s="647"/>
      <c r="I35" s="647"/>
      <c r="J35" s="647"/>
      <c r="K35" s="647"/>
      <c r="L35" s="647"/>
      <c r="M35" s="647"/>
      <c r="N35" s="647"/>
      <c r="O35" s="647"/>
      <c r="P35" s="647"/>
      <c r="Q35" s="647"/>
      <c r="R35" s="647"/>
      <c r="S35" s="647"/>
      <c r="T35" s="647"/>
      <c r="U35" s="647"/>
      <c r="V35" s="647"/>
      <c r="W35" s="647"/>
      <c r="X35" s="647"/>
      <c r="Y35" s="647"/>
      <c r="Z35" s="647"/>
      <c r="AA35" s="647"/>
      <c r="AB35" s="647"/>
      <c r="AC35" s="647"/>
      <c r="AD35" s="647"/>
      <c r="AE35" s="647"/>
      <c r="AF35" s="647"/>
      <c r="AG35" s="647"/>
      <c r="AH35" s="647"/>
      <c r="AI35" s="647"/>
      <c r="AJ35" s="647"/>
      <c r="AK35" s="647"/>
      <c r="AL35" s="647"/>
      <c r="AM35" s="647"/>
      <c r="AN35" s="647"/>
      <c r="AO35" s="647"/>
      <c r="AP35" s="647"/>
      <c r="AQ35" s="647"/>
      <c r="AR35" s="647"/>
      <c r="AS35" s="647"/>
      <c r="AT35" s="647"/>
      <c r="AU35" s="647"/>
      <c r="AV35" s="647"/>
      <c r="AW35" s="647"/>
      <c r="AX35" s="647"/>
      <c r="AY35" s="647"/>
      <c r="AZ35" s="647"/>
      <c r="BA35" s="647"/>
      <c r="BB35" s="647"/>
      <c r="BC35" s="647"/>
      <c r="BD35" s="647"/>
      <c r="BE35" s="647"/>
      <c r="BF35" s="647"/>
      <c r="BG35" s="647"/>
      <c r="BH35" s="647"/>
      <c r="BI35" s="647"/>
      <c r="BJ35" s="647"/>
      <c r="BK35" s="647"/>
      <c r="BL35" s="647"/>
      <c r="BM35" s="647"/>
      <c r="BN35" s="647"/>
      <c r="BO35" s="647"/>
      <c r="BP35" s="647"/>
      <c r="BQ35" s="647"/>
      <c r="BR35" s="647"/>
      <c r="BS35" s="647"/>
      <c r="BT35" s="647"/>
      <c r="BU35" s="647"/>
      <c r="BV35" s="647"/>
      <c r="BW35" s="647"/>
      <c r="BX35" s="647"/>
      <c r="BY35" s="647"/>
      <c r="BZ35" s="647"/>
      <c r="CA35" s="647"/>
      <c r="CB35" s="647"/>
      <c r="CC35" s="647"/>
      <c r="CD35" s="647"/>
      <c r="CE35" s="647"/>
      <c r="CF35" s="647"/>
      <c r="CG35" s="647"/>
      <c r="CH35" s="647"/>
      <c r="CI35" s="647"/>
      <c r="CJ35" s="647"/>
      <c r="CK35" s="647"/>
      <c r="CL35" s="647"/>
      <c r="CM35" s="647"/>
      <c r="CN35" s="647"/>
    </row>
    <row r="36" spans="1:92" ht="24">
      <c r="A36" s="647"/>
      <c r="B36" s="663" t="s">
        <v>1004</v>
      </c>
      <c r="C36" s="663" t="s">
        <v>1021</v>
      </c>
      <c r="D36" s="664">
        <v>0</v>
      </c>
      <c r="E36" s="665"/>
      <c r="F36" s="647"/>
      <c r="G36" s="647"/>
      <c r="H36" s="647"/>
      <c r="I36" s="647"/>
      <c r="J36" s="647"/>
      <c r="K36" s="647"/>
      <c r="L36" s="647"/>
      <c r="M36" s="647"/>
      <c r="N36" s="647"/>
      <c r="O36" s="647"/>
      <c r="P36" s="647"/>
      <c r="Q36" s="647"/>
      <c r="R36" s="647"/>
      <c r="S36" s="647"/>
      <c r="T36" s="647"/>
      <c r="U36" s="647"/>
      <c r="V36" s="647"/>
      <c r="W36" s="647"/>
      <c r="X36" s="647"/>
      <c r="Y36" s="647"/>
      <c r="Z36" s="647"/>
      <c r="AA36" s="647"/>
      <c r="AB36" s="647"/>
      <c r="AC36" s="647"/>
      <c r="AD36" s="647"/>
      <c r="AE36" s="647"/>
      <c r="AF36" s="647"/>
      <c r="AG36" s="647"/>
      <c r="AH36" s="647"/>
      <c r="AI36" s="647"/>
      <c r="AJ36" s="647"/>
      <c r="AK36" s="647"/>
      <c r="AL36" s="647"/>
      <c r="AM36" s="647"/>
      <c r="AN36" s="647"/>
      <c r="AO36" s="647"/>
      <c r="AP36" s="647"/>
      <c r="AQ36" s="647"/>
      <c r="AR36" s="647"/>
      <c r="AS36" s="647"/>
      <c r="AT36" s="647"/>
      <c r="AU36" s="647"/>
      <c r="AV36" s="647"/>
      <c r="AW36" s="647"/>
      <c r="AX36" s="647"/>
      <c r="AY36" s="647"/>
      <c r="AZ36" s="647"/>
      <c r="BA36" s="647"/>
      <c r="BB36" s="647"/>
      <c r="BC36" s="647"/>
      <c r="BD36" s="647"/>
      <c r="BE36" s="647"/>
      <c r="BF36" s="647"/>
      <c r="BG36" s="647"/>
      <c r="BH36" s="647"/>
      <c r="BI36" s="647"/>
      <c r="BJ36" s="647"/>
      <c r="BK36" s="647"/>
      <c r="BL36" s="647"/>
      <c r="BM36" s="647"/>
      <c r="BN36" s="647"/>
      <c r="BO36" s="647"/>
      <c r="BP36" s="647"/>
      <c r="BQ36" s="647"/>
      <c r="BR36" s="647"/>
      <c r="BS36" s="647"/>
      <c r="BT36" s="647"/>
      <c r="BU36" s="647"/>
      <c r="BV36" s="647"/>
      <c r="BW36" s="647"/>
      <c r="BX36" s="647"/>
      <c r="BY36" s="647"/>
      <c r="BZ36" s="647"/>
      <c r="CA36" s="647"/>
      <c r="CB36" s="647"/>
      <c r="CC36" s="647"/>
      <c r="CD36" s="647"/>
      <c r="CE36" s="647"/>
      <c r="CF36" s="647"/>
      <c r="CG36" s="647"/>
      <c r="CH36" s="647"/>
      <c r="CI36" s="647"/>
      <c r="CJ36" s="647"/>
      <c r="CK36" s="647"/>
      <c r="CL36" s="647"/>
      <c r="CM36" s="647"/>
      <c r="CN36" s="647"/>
    </row>
    <row r="37" spans="1:92">
      <c r="A37" s="647"/>
      <c r="B37" s="663" t="s">
        <v>1005</v>
      </c>
      <c r="C37" s="663" t="s">
        <v>1022</v>
      </c>
      <c r="D37" s="664">
        <v>0</v>
      </c>
      <c r="E37" s="665"/>
      <c r="F37" s="647"/>
      <c r="G37" s="647"/>
      <c r="H37" s="647"/>
      <c r="I37" s="647"/>
      <c r="J37" s="647"/>
      <c r="K37" s="647"/>
      <c r="L37" s="647"/>
      <c r="M37" s="647"/>
      <c r="N37" s="647"/>
      <c r="O37" s="647"/>
      <c r="P37" s="647"/>
      <c r="Q37" s="647"/>
      <c r="R37" s="647"/>
      <c r="S37" s="647"/>
      <c r="T37" s="647"/>
      <c r="U37" s="647"/>
      <c r="V37" s="647"/>
      <c r="W37" s="647"/>
      <c r="X37" s="647"/>
      <c r="Y37" s="647"/>
      <c r="Z37" s="647"/>
      <c r="AA37" s="647"/>
      <c r="AB37" s="647"/>
      <c r="AC37" s="647"/>
      <c r="AD37" s="647"/>
      <c r="AE37" s="647"/>
      <c r="AF37" s="647"/>
      <c r="AG37" s="647"/>
      <c r="AH37" s="647"/>
      <c r="AI37" s="647"/>
      <c r="AJ37" s="647"/>
      <c r="AK37" s="647"/>
      <c r="AL37" s="647"/>
      <c r="AM37" s="647"/>
      <c r="AN37" s="647"/>
      <c r="AO37" s="647"/>
      <c r="AP37" s="647"/>
      <c r="AQ37" s="647"/>
      <c r="AR37" s="647"/>
      <c r="AS37" s="647"/>
      <c r="AT37" s="647"/>
      <c r="AU37" s="647"/>
      <c r="AV37" s="647"/>
      <c r="AW37" s="647"/>
      <c r="AX37" s="647"/>
      <c r="AY37" s="647"/>
      <c r="AZ37" s="647"/>
      <c r="BA37" s="647"/>
      <c r="BB37" s="647"/>
      <c r="BC37" s="647"/>
      <c r="BD37" s="647"/>
      <c r="BE37" s="647"/>
      <c r="BF37" s="647"/>
      <c r="BG37" s="647"/>
      <c r="BH37" s="647"/>
      <c r="BI37" s="647"/>
      <c r="BJ37" s="647"/>
      <c r="BK37" s="647"/>
      <c r="BL37" s="647"/>
      <c r="BM37" s="647"/>
      <c r="BN37" s="647"/>
      <c r="BO37" s="647"/>
      <c r="BP37" s="647"/>
      <c r="BQ37" s="647"/>
      <c r="BR37" s="647"/>
      <c r="BS37" s="647"/>
      <c r="BT37" s="647"/>
      <c r="BU37" s="647"/>
      <c r="BV37" s="647"/>
      <c r="BW37" s="647"/>
      <c r="BX37" s="647"/>
      <c r="BY37" s="647"/>
      <c r="BZ37" s="647"/>
      <c r="CA37" s="647"/>
      <c r="CB37" s="647"/>
      <c r="CC37" s="647"/>
      <c r="CD37" s="647"/>
      <c r="CE37" s="647"/>
      <c r="CF37" s="647"/>
      <c r="CG37" s="647"/>
      <c r="CH37" s="647"/>
      <c r="CI37" s="647"/>
      <c r="CJ37" s="647"/>
      <c r="CK37" s="647"/>
      <c r="CL37" s="647"/>
      <c r="CM37" s="647"/>
      <c r="CN37" s="647"/>
    </row>
    <row r="38" spans="1:92">
      <c r="A38" s="647"/>
      <c r="B38" s="663" t="s">
        <v>1006</v>
      </c>
      <c r="C38" s="663" t="s">
        <v>1023</v>
      </c>
      <c r="D38" s="664">
        <v>0</v>
      </c>
      <c r="E38" s="665"/>
      <c r="F38" s="647"/>
      <c r="G38" s="647"/>
      <c r="H38" s="647"/>
      <c r="I38" s="647"/>
      <c r="J38" s="647"/>
      <c r="K38" s="647"/>
      <c r="L38" s="647"/>
      <c r="M38" s="647"/>
      <c r="N38" s="647"/>
      <c r="O38" s="647"/>
      <c r="P38" s="647"/>
      <c r="Q38" s="647"/>
      <c r="R38" s="647"/>
      <c r="S38" s="647"/>
      <c r="T38" s="647"/>
      <c r="U38" s="647"/>
      <c r="V38" s="647"/>
      <c r="W38" s="647"/>
      <c r="X38" s="647"/>
      <c r="Y38" s="647"/>
      <c r="Z38" s="647"/>
      <c r="AA38" s="647"/>
      <c r="AB38" s="647"/>
      <c r="AC38" s="647"/>
      <c r="AD38" s="647"/>
      <c r="AE38" s="647"/>
      <c r="AF38" s="647"/>
      <c r="AG38" s="647"/>
      <c r="AH38" s="647"/>
      <c r="AI38" s="647"/>
      <c r="AJ38" s="647"/>
      <c r="AK38" s="647"/>
      <c r="AL38" s="647"/>
      <c r="AM38" s="647"/>
      <c r="AN38" s="647"/>
      <c r="AO38" s="647"/>
      <c r="AP38" s="647"/>
      <c r="AQ38" s="647"/>
      <c r="AR38" s="647"/>
      <c r="AS38" s="647"/>
      <c r="AT38" s="647"/>
      <c r="AU38" s="647"/>
      <c r="AV38" s="647"/>
      <c r="AW38" s="647"/>
      <c r="AX38" s="647"/>
      <c r="AY38" s="647"/>
      <c r="AZ38" s="647"/>
      <c r="BA38" s="647"/>
      <c r="BB38" s="647"/>
      <c r="BC38" s="647"/>
      <c r="BD38" s="647"/>
      <c r="BE38" s="647"/>
      <c r="BF38" s="647"/>
      <c r="BG38" s="647"/>
      <c r="BH38" s="647"/>
      <c r="BI38" s="647"/>
      <c r="BJ38" s="647"/>
      <c r="BK38" s="647"/>
      <c r="BL38" s="647"/>
      <c r="BM38" s="647"/>
      <c r="BN38" s="647"/>
      <c r="BO38" s="647"/>
      <c r="BP38" s="647"/>
      <c r="BQ38" s="647"/>
      <c r="BR38" s="647"/>
      <c r="BS38" s="647"/>
      <c r="BT38" s="647"/>
      <c r="BU38" s="647"/>
      <c r="BV38" s="647"/>
      <c r="BW38" s="647"/>
      <c r="BX38" s="647"/>
      <c r="BY38" s="647"/>
      <c r="BZ38" s="647"/>
      <c r="CA38" s="647"/>
      <c r="CB38" s="647"/>
      <c r="CC38" s="647"/>
      <c r="CD38" s="647"/>
      <c r="CE38" s="647"/>
      <c r="CF38" s="647"/>
      <c r="CG38" s="647"/>
      <c r="CH38" s="647"/>
      <c r="CI38" s="647"/>
      <c r="CJ38" s="647"/>
      <c r="CK38" s="647"/>
      <c r="CL38" s="647"/>
      <c r="CM38" s="647"/>
      <c r="CN38" s="647"/>
    </row>
    <row r="39" spans="1:92" ht="24">
      <c r="A39" s="647"/>
      <c r="B39" s="663" t="s">
        <v>1006</v>
      </c>
      <c r="C39" s="663" t="s">
        <v>1024</v>
      </c>
      <c r="D39" s="664">
        <v>0</v>
      </c>
      <c r="E39" s="665"/>
      <c r="F39" s="647"/>
      <c r="G39" s="647"/>
      <c r="H39" s="647"/>
      <c r="I39" s="647"/>
      <c r="J39" s="647"/>
      <c r="K39" s="647"/>
      <c r="L39" s="647"/>
      <c r="M39" s="647"/>
      <c r="N39" s="647"/>
      <c r="O39" s="647"/>
      <c r="P39" s="647"/>
      <c r="Q39" s="647"/>
      <c r="R39" s="647"/>
      <c r="S39" s="647"/>
      <c r="T39" s="647"/>
      <c r="U39" s="647"/>
      <c r="V39" s="647"/>
      <c r="W39" s="647"/>
      <c r="X39" s="647"/>
      <c r="Y39" s="647"/>
      <c r="Z39" s="647"/>
      <c r="AA39" s="647"/>
      <c r="AB39" s="647"/>
      <c r="AC39" s="647"/>
      <c r="AD39" s="647"/>
      <c r="AE39" s="647"/>
      <c r="AF39" s="647"/>
      <c r="AG39" s="647"/>
      <c r="AH39" s="647"/>
      <c r="AI39" s="647"/>
      <c r="AJ39" s="647"/>
      <c r="AK39" s="647"/>
      <c r="AL39" s="647"/>
      <c r="AM39" s="647"/>
      <c r="AN39" s="647"/>
      <c r="AO39" s="647"/>
      <c r="AP39" s="647"/>
      <c r="AQ39" s="647"/>
      <c r="AR39" s="647"/>
      <c r="AS39" s="647"/>
      <c r="AT39" s="647"/>
      <c r="AU39" s="647"/>
      <c r="AV39" s="647"/>
      <c r="AW39" s="647"/>
      <c r="AX39" s="647"/>
      <c r="AY39" s="647"/>
      <c r="AZ39" s="647"/>
      <c r="BA39" s="647"/>
      <c r="BB39" s="647"/>
      <c r="BC39" s="647"/>
      <c r="BD39" s="647"/>
      <c r="BE39" s="647"/>
      <c r="BF39" s="647"/>
      <c r="BG39" s="647"/>
      <c r="BH39" s="647"/>
      <c r="BI39" s="647"/>
      <c r="BJ39" s="647"/>
      <c r="BK39" s="647"/>
      <c r="BL39" s="647"/>
      <c r="BM39" s="647"/>
      <c r="BN39" s="647"/>
      <c r="BO39" s="647"/>
      <c r="BP39" s="647"/>
      <c r="BQ39" s="647"/>
      <c r="BR39" s="647"/>
      <c r="BS39" s="647"/>
      <c r="BT39" s="647"/>
      <c r="BU39" s="647"/>
      <c r="BV39" s="647"/>
      <c r="BW39" s="647"/>
      <c r="BX39" s="647"/>
      <c r="BY39" s="647"/>
      <c r="BZ39" s="647"/>
      <c r="CA39" s="647"/>
      <c r="CB39" s="647"/>
      <c r="CC39" s="647"/>
      <c r="CD39" s="647"/>
      <c r="CE39" s="647"/>
      <c r="CF39" s="647"/>
      <c r="CG39" s="647"/>
      <c r="CH39" s="647"/>
      <c r="CI39" s="647"/>
      <c r="CJ39" s="647"/>
      <c r="CK39" s="647"/>
      <c r="CL39" s="647"/>
      <c r="CM39" s="647"/>
      <c r="CN39" s="647"/>
    </row>
    <row r="40" spans="1:92" ht="24">
      <c r="A40" s="647"/>
      <c r="B40" s="663" t="s">
        <v>1006</v>
      </c>
      <c r="C40" s="663" t="s">
        <v>1025</v>
      </c>
      <c r="D40" s="664">
        <v>0</v>
      </c>
      <c r="E40" s="665"/>
      <c r="F40" s="647"/>
      <c r="G40" s="647"/>
      <c r="H40" s="647"/>
      <c r="I40" s="647"/>
      <c r="J40" s="647"/>
      <c r="K40" s="647"/>
      <c r="L40" s="647"/>
      <c r="M40" s="647"/>
      <c r="N40" s="647"/>
      <c r="O40" s="647"/>
      <c r="P40" s="647"/>
      <c r="Q40" s="647"/>
      <c r="R40" s="647"/>
      <c r="S40" s="647"/>
      <c r="T40" s="647"/>
      <c r="U40" s="647"/>
      <c r="V40" s="647"/>
      <c r="W40" s="647"/>
      <c r="X40" s="647"/>
      <c r="Y40" s="647"/>
      <c r="Z40" s="647"/>
      <c r="AA40" s="647"/>
      <c r="AB40" s="647"/>
      <c r="AC40" s="647"/>
      <c r="AD40" s="647"/>
      <c r="AE40" s="647"/>
      <c r="AF40" s="647"/>
      <c r="AG40" s="647"/>
      <c r="AH40" s="647"/>
      <c r="AI40" s="647"/>
      <c r="AJ40" s="647"/>
      <c r="AK40" s="647"/>
      <c r="AL40" s="647"/>
      <c r="AM40" s="647"/>
      <c r="AN40" s="647"/>
      <c r="AO40" s="647"/>
      <c r="AP40" s="647"/>
      <c r="AQ40" s="647"/>
      <c r="AR40" s="647"/>
      <c r="AS40" s="647"/>
      <c r="AT40" s="647"/>
      <c r="AU40" s="647"/>
      <c r="AV40" s="647"/>
      <c r="AW40" s="647"/>
      <c r="AX40" s="647"/>
      <c r="AY40" s="647"/>
      <c r="AZ40" s="647"/>
      <c r="BA40" s="647"/>
      <c r="BB40" s="647"/>
      <c r="BC40" s="647"/>
      <c r="BD40" s="647"/>
      <c r="BE40" s="647"/>
      <c r="BF40" s="647"/>
      <c r="BG40" s="647"/>
      <c r="BH40" s="647"/>
      <c r="BI40" s="647"/>
      <c r="BJ40" s="647"/>
      <c r="BK40" s="647"/>
      <c r="BL40" s="647"/>
      <c r="BM40" s="647"/>
      <c r="BN40" s="647"/>
      <c r="BO40" s="647"/>
      <c r="BP40" s="647"/>
      <c r="BQ40" s="647"/>
      <c r="BR40" s="647"/>
      <c r="BS40" s="647"/>
      <c r="BT40" s="647"/>
      <c r="BU40" s="647"/>
      <c r="BV40" s="647"/>
      <c r="BW40" s="647"/>
      <c r="BX40" s="647"/>
      <c r="BY40" s="647"/>
      <c r="BZ40" s="647"/>
      <c r="CA40" s="647"/>
      <c r="CB40" s="647"/>
      <c r="CC40" s="647"/>
      <c r="CD40" s="647"/>
      <c r="CE40" s="647"/>
      <c r="CF40" s="647"/>
      <c r="CG40" s="647"/>
      <c r="CH40" s="647"/>
      <c r="CI40" s="647"/>
      <c r="CJ40" s="647"/>
      <c r="CK40" s="647"/>
      <c r="CL40" s="647"/>
      <c r="CM40" s="647"/>
      <c r="CN40" s="647"/>
    </row>
    <row r="41" spans="1:92">
      <c r="A41" s="647"/>
      <c r="B41" s="663" t="s">
        <v>1006</v>
      </c>
      <c r="C41" s="663"/>
      <c r="D41" s="664">
        <v>0</v>
      </c>
      <c r="E41" s="665"/>
      <c r="F41" s="647"/>
      <c r="G41" s="647"/>
      <c r="H41" s="647"/>
      <c r="I41" s="647"/>
      <c r="J41" s="647"/>
      <c r="K41" s="647"/>
      <c r="L41" s="647"/>
      <c r="M41" s="647"/>
      <c r="N41" s="647"/>
      <c r="O41" s="647"/>
      <c r="P41" s="647"/>
      <c r="Q41" s="647"/>
      <c r="R41" s="647"/>
      <c r="S41" s="647"/>
      <c r="T41" s="647"/>
      <c r="U41" s="647"/>
      <c r="V41" s="647"/>
      <c r="W41" s="647"/>
      <c r="X41" s="647"/>
      <c r="Y41" s="647"/>
      <c r="Z41" s="647"/>
      <c r="AA41" s="647"/>
      <c r="AB41" s="647"/>
      <c r="AC41" s="647"/>
      <c r="AD41" s="647"/>
      <c r="AE41" s="647"/>
      <c r="AF41" s="647"/>
      <c r="AG41" s="647"/>
      <c r="AH41" s="647"/>
      <c r="AI41" s="647"/>
      <c r="AJ41" s="647"/>
      <c r="AK41" s="647"/>
      <c r="AL41" s="647"/>
      <c r="AM41" s="647"/>
      <c r="AN41" s="647"/>
      <c r="AO41" s="647"/>
      <c r="AP41" s="647"/>
      <c r="AQ41" s="647"/>
      <c r="AR41" s="647"/>
      <c r="AS41" s="647"/>
      <c r="AT41" s="647"/>
      <c r="AU41" s="647"/>
      <c r="AV41" s="647"/>
      <c r="AW41" s="647"/>
      <c r="AX41" s="647"/>
      <c r="AY41" s="647"/>
      <c r="AZ41" s="647"/>
      <c r="BA41" s="647"/>
      <c r="BB41" s="647"/>
      <c r="BC41" s="647"/>
      <c r="BD41" s="647"/>
      <c r="BE41" s="647"/>
      <c r="BF41" s="647"/>
      <c r="BG41" s="647"/>
      <c r="BH41" s="647"/>
      <c r="BI41" s="647"/>
      <c r="BJ41" s="647"/>
      <c r="BK41" s="647"/>
      <c r="BL41" s="647"/>
      <c r="BM41" s="647"/>
      <c r="BN41" s="647"/>
      <c r="BO41" s="647"/>
      <c r="BP41" s="647"/>
      <c r="BQ41" s="647"/>
      <c r="BR41" s="647"/>
      <c r="BS41" s="647"/>
      <c r="BT41" s="647"/>
      <c r="BU41" s="647"/>
      <c r="BV41" s="647"/>
      <c r="BW41" s="647"/>
      <c r="BX41" s="647"/>
      <c r="BY41" s="647"/>
      <c r="BZ41" s="647"/>
      <c r="CA41" s="647"/>
      <c r="CB41" s="647"/>
      <c r="CC41" s="647"/>
      <c r="CD41" s="647"/>
      <c r="CE41" s="647"/>
      <c r="CF41" s="647"/>
      <c r="CG41" s="647"/>
      <c r="CH41" s="647"/>
      <c r="CI41" s="647"/>
      <c r="CJ41" s="647"/>
      <c r="CK41" s="647"/>
      <c r="CL41" s="647"/>
      <c r="CM41" s="647"/>
      <c r="CN41" s="647"/>
    </row>
    <row r="42" spans="1:92">
      <c r="A42" s="647"/>
      <c r="B42" s="663" t="s">
        <v>1006</v>
      </c>
      <c r="C42" s="666" t="s">
        <v>95</v>
      </c>
      <c r="D42" s="667">
        <f>SUM(D35:D41)</f>
        <v>327462420</v>
      </c>
      <c r="E42" s="668">
        <f>SUM(E35:E41)</f>
        <v>357962420</v>
      </c>
      <c r="F42" s="647"/>
      <c r="G42" s="647"/>
      <c r="H42" s="647"/>
      <c r="I42" s="647"/>
      <c r="J42" s="647"/>
      <c r="K42" s="647"/>
      <c r="L42" s="647"/>
      <c r="M42" s="647"/>
      <c r="N42" s="647"/>
      <c r="O42" s="647"/>
      <c r="P42" s="647"/>
      <c r="Q42" s="647"/>
      <c r="R42" s="647"/>
      <c r="S42" s="647"/>
      <c r="T42" s="647"/>
      <c r="U42" s="647"/>
      <c r="V42" s="647"/>
      <c r="W42" s="647"/>
      <c r="X42" s="647"/>
      <c r="Y42" s="647"/>
      <c r="Z42" s="647"/>
      <c r="AA42" s="647"/>
      <c r="AB42" s="647"/>
      <c r="AC42" s="647"/>
      <c r="AD42" s="647"/>
      <c r="AE42" s="647"/>
      <c r="AF42" s="647"/>
      <c r="AG42" s="647"/>
      <c r="AH42" s="647"/>
      <c r="AI42" s="647"/>
      <c r="AJ42" s="647"/>
      <c r="AK42" s="647"/>
      <c r="AL42" s="647"/>
      <c r="AM42" s="647"/>
      <c r="AN42" s="647"/>
      <c r="AO42" s="647"/>
      <c r="AP42" s="647"/>
      <c r="AQ42" s="647"/>
      <c r="AR42" s="647"/>
      <c r="AS42" s="647"/>
      <c r="AT42" s="647"/>
      <c r="AU42" s="647"/>
      <c r="AV42" s="647"/>
      <c r="AW42" s="647"/>
      <c r="AX42" s="647"/>
      <c r="AY42" s="647"/>
      <c r="AZ42" s="647"/>
      <c r="BA42" s="647"/>
      <c r="BB42" s="647"/>
      <c r="BC42" s="647"/>
      <c r="BD42" s="647"/>
      <c r="BE42" s="647"/>
      <c r="BF42" s="647"/>
      <c r="BG42" s="647"/>
      <c r="BH42" s="647"/>
      <c r="BI42" s="647"/>
      <c r="BJ42" s="647"/>
      <c r="BK42" s="647"/>
      <c r="BL42" s="647"/>
      <c r="BM42" s="647"/>
      <c r="BN42" s="647"/>
      <c r="BO42" s="647"/>
      <c r="BP42" s="647"/>
      <c r="BQ42" s="647"/>
      <c r="BR42" s="647"/>
      <c r="BS42" s="647"/>
      <c r="BT42" s="647"/>
      <c r="BU42" s="647"/>
      <c r="BV42" s="647"/>
      <c r="BW42" s="647"/>
      <c r="BX42" s="647"/>
      <c r="BY42" s="647"/>
      <c r="BZ42" s="647"/>
      <c r="CA42" s="647"/>
      <c r="CB42" s="647"/>
      <c r="CC42" s="647"/>
      <c r="CD42" s="647"/>
      <c r="CE42" s="647"/>
      <c r="CF42" s="647"/>
      <c r="CG42" s="647"/>
      <c r="CH42" s="647"/>
      <c r="CI42" s="647"/>
      <c r="CJ42" s="647"/>
      <c r="CK42" s="647"/>
      <c r="CL42" s="647"/>
      <c r="CM42" s="647"/>
      <c r="CN42" s="647"/>
    </row>
    <row r="43" spans="1:92">
      <c r="A43" s="647" t="s">
        <v>1007</v>
      </c>
      <c r="B43" s="647" t="s">
        <v>1007</v>
      </c>
      <c r="C43" s="647" t="s">
        <v>1007</v>
      </c>
      <c r="D43" s="647" t="s">
        <v>1007</v>
      </c>
      <c r="F43" s="647"/>
      <c r="G43" s="647"/>
      <c r="H43" s="647"/>
      <c r="I43" s="647"/>
      <c r="J43" s="647"/>
      <c r="K43" s="647"/>
      <c r="L43" s="647"/>
      <c r="M43" s="647"/>
      <c r="N43" s="647"/>
      <c r="O43" s="647"/>
      <c r="P43" s="647"/>
      <c r="Q43" s="647"/>
      <c r="R43" s="647"/>
      <c r="S43" s="647"/>
      <c r="T43" s="647"/>
      <c r="U43" s="647"/>
      <c r="V43" s="647"/>
      <c r="W43" s="647"/>
      <c r="X43" s="647"/>
      <c r="Y43" s="647"/>
      <c r="Z43" s="647"/>
      <c r="AA43" s="647"/>
      <c r="AB43" s="647"/>
      <c r="AC43" s="647"/>
      <c r="AD43" s="647"/>
      <c r="AE43" s="647"/>
      <c r="AF43" s="647"/>
      <c r="AG43" s="647"/>
      <c r="AH43" s="647"/>
      <c r="AI43" s="647"/>
      <c r="AJ43" s="647"/>
      <c r="AK43" s="647"/>
      <c r="AL43" s="647"/>
      <c r="AM43" s="647"/>
      <c r="AN43" s="729"/>
      <c r="AO43" s="729"/>
      <c r="AP43" s="729"/>
      <c r="AQ43" s="729"/>
      <c r="AR43" s="729"/>
      <c r="AS43" s="729"/>
      <c r="AT43" s="729"/>
      <c r="AU43" s="729"/>
      <c r="AV43" s="729"/>
      <c r="AW43" s="729"/>
      <c r="AX43" s="729"/>
      <c r="AY43" s="729"/>
      <c r="AZ43" s="729"/>
      <c r="BA43" s="729"/>
      <c r="BB43" s="729"/>
      <c r="BC43" s="729"/>
      <c r="BD43" s="729"/>
      <c r="BE43" s="729"/>
      <c r="BF43" s="729"/>
      <c r="BG43" s="729"/>
      <c r="BH43" s="729"/>
      <c r="BI43" s="729"/>
      <c r="BJ43" s="729"/>
      <c r="BK43" s="729"/>
      <c r="BL43" s="729"/>
      <c r="BM43" s="729"/>
      <c r="BN43" s="729"/>
      <c r="BO43" s="729"/>
      <c r="BP43" s="729"/>
      <c r="BQ43" s="729"/>
      <c r="BR43" s="729"/>
      <c r="BS43" s="729"/>
      <c r="BT43" s="729"/>
      <c r="BU43" s="729"/>
      <c r="BV43" s="729"/>
      <c r="BW43" s="729"/>
      <c r="BX43" s="729"/>
      <c r="BY43" s="729"/>
      <c r="BZ43" s="729"/>
      <c r="CA43" s="729"/>
      <c r="CB43" s="729"/>
      <c r="CC43" s="729"/>
      <c r="CD43" s="729"/>
      <c r="CE43" s="729"/>
      <c r="CF43" s="729"/>
      <c r="CG43" s="729"/>
      <c r="CH43" s="729"/>
      <c r="CI43" s="729"/>
      <c r="CJ43" s="729"/>
      <c r="CK43" s="729"/>
      <c r="CL43" s="729"/>
      <c r="CM43" s="729"/>
      <c r="CN43" s="729"/>
    </row>
    <row r="44" spans="1:92">
      <c r="A44" s="646" t="s">
        <v>1001</v>
      </c>
      <c r="B44" s="647"/>
      <c r="C44" s="647"/>
      <c r="D44" s="647"/>
      <c r="F44" s="647"/>
      <c r="G44" s="647"/>
      <c r="H44" s="647"/>
      <c r="I44" s="647"/>
      <c r="J44" s="647"/>
      <c r="K44" s="647"/>
      <c r="L44" s="647"/>
      <c r="M44" s="647"/>
      <c r="N44" s="647"/>
      <c r="O44" s="647"/>
      <c r="P44" s="647"/>
      <c r="Q44" s="647"/>
      <c r="R44" s="647"/>
      <c r="S44" s="647"/>
      <c r="T44" s="647"/>
      <c r="U44" s="647"/>
      <c r="V44" s="647"/>
      <c r="W44" s="647"/>
      <c r="X44" s="647"/>
      <c r="Y44" s="647"/>
      <c r="Z44" s="647"/>
      <c r="AA44" s="647"/>
      <c r="AB44" s="647"/>
      <c r="AC44" s="647"/>
      <c r="AD44" s="647"/>
      <c r="AE44" s="647"/>
      <c r="AF44" s="647"/>
      <c r="AG44" s="647"/>
      <c r="AH44" s="647"/>
      <c r="AI44" s="647"/>
      <c r="AJ44" s="647"/>
      <c r="AK44" s="647"/>
      <c r="AL44" s="647"/>
      <c r="AM44" s="647"/>
      <c r="AN44" s="647"/>
      <c r="AO44" s="647"/>
      <c r="AP44" s="647"/>
      <c r="AQ44" s="647"/>
      <c r="AR44" s="647"/>
      <c r="AS44" s="647"/>
      <c r="AT44" s="647"/>
      <c r="AU44" s="647"/>
      <c r="AV44" s="647"/>
      <c r="AW44" s="647"/>
      <c r="AX44" s="647"/>
      <c r="AY44" s="647"/>
      <c r="AZ44" s="647"/>
      <c r="BA44" s="647"/>
      <c r="BB44" s="647"/>
      <c r="BC44" s="647"/>
      <c r="BD44" s="647"/>
      <c r="BE44" s="647"/>
      <c r="BF44" s="647"/>
      <c r="BG44" s="647"/>
      <c r="BH44" s="647"/>
      <c r="BI44" s="647"/>
      <c r="BJ44" s="647"/>
      <c r="BK44" s="647"/>
      <c r="BL44" s="647"/>
      <c r="BM44" s="647"/>
      <c r="BN44" s="647"/>
      <c r="BO44" s="647"/>
      <c r="BP44" s="647"/>
      <c r="BQ44" s="647"/>
      <c r="BR44" s="647"/>
      <c r="BS44" s="647"/>
      <c r="BT44" s="647"/>
      <c r="BU44" s="647"/>
      <c r="BV44" s="647"/>
      <c r="BW44" s="647"/>
      <c r="BX44" s="647"/>
      <c r="BY44" s="647"/>
      <c r="BZ44" s="647"/>
      <c r="CA44" s="647"/>
      <c r="CB44" s="647"/>
      <c r="CC44" s="647"/>
      <c r="CD44" s="647"/>
      <c r="CE44" s="647"/>
      <c r="CF44" s="647"/>
      <c r="CG44" s="647"/>
      <c r="CH44" s="647"/>
      <c r="CI44" s="647"/>
      <c r="CJ44" s="647"/>
      <c r="CK44" s="647"/>
      <c r="CL44" s="647"/>
      <c r="CM44" s="647"/>
      <c r="CN44" s="647"/>
    </row>
    <row r="45" spans="1:92">
      <c r="A45" s="647"/>
      <c r="B45" s="646" t="s">
        <v>1026</v>
      </c>
      <c r="C45" s="647"/>
      <c r="D45" s="647"/>
      <c r="F45" s="647"/>
      <c r="G45" s="647"/>
      <c r="H45" s="647"/>
      <c r="I45" s="647"/>
      <c r="J45" s="647"/>
      <c r="K45" s="647"/>
      <c r="L45" s="647"/>
      <c r="M45" s="647"/>
      <c r="N45" s="647"/>
      <c r="O45" s="647"/>
      <c r="P45" s="647"/>
      <c r="Q45" s="647"/>
      <c r="R45" s="647"/>
      <c r="S45" s="647"/>
      <c r="T45" s="647"/>
      <c r="U45" s="647"/>
      <c r="V45" s="647"/>
      <c r="W45" s="647"/>
      <c r="X45" s="647"/>
      <c r="Y45" s="647"/>
      <c r="Z45" s="647"/>
      <c r="AA45" s="647"/>
      <c r="AB45" s="647"/>
      <c r="AC45" s="647"/>
      <c r="AD45" s="647"/>
      <c r="AE45" s="647"/>
      <c r="AF45" s="647"/>
      <c r="AG45" s="647"/>
      <c r="AH45" s="647"/>
      <c r="AI45" s="647"/>
      <c r="AJ45" s="647"/>
      <c r="AK45" s="647"/>
      <c r="AL45" s="647"/>
      <c r="AM45" s="647"/>
      <c r="AN45" s="647"/>
      <c r="AO45" s="647"/>
      <c r="AP45" s="647"/>
      <c r="AQ45" s="647"/>
      <c r="AR45" s="647"/>
      <c r="AS45" s="647"/>
      <c r="AT45" s="647"/>
      <c r="AU45" s="647"/>
      <c r="AV45" s="647"/>
      <c r="AW45" s="647"/>
      <c r="AX45" s="647"/>
      <c r="AY45" s="647"/>
      <c r="AZ45" s="647"/>
      <c r="BA45" s="647"/>
      <c r="BB45" s="647"/>
      <c r="BC45" s="647"/>
      <c r="BD45" s="647"/>
      <c r="BE45" s="647"/>
      <c r="BF45" s="647"/>
      <c r="BG45" s="647"/>
      <c r="BH45" s="647"/>
      <c r="BI45" s="647"/>
      <c r="BJ45" s="647"/>
      <c r="BK45" s="647"/>
      <c r="BL45" s="647"/>
      <c r="BM45" s="647"/>
      <c r="BN45" s="647"/>
      <c r="BO45" s="647"/>
      <c r="BP45" s="647"/>
      <c r="BQ45" s="647"/>
      <c r="BR45" s="647"/>
      <c r="BS45" s="647"/>
      <c r="BT45" s="647"/>
      <c r="BU45" s="647"/>
      <c r="BV45" s="647"/>
      <c r="BW45" s="647"/>
      <c r="BX45" s="647"/>
      <c r="BY45" s="647"/>
      <c r="BZ45" s="647"/>
      <c r="CA45" s="647"/>
      <c r="CB45" s="647"/>
      <c r="CC45" s="647"/>
      <c r="CD45" s="647"/>
      <c r="CE45" s="647"/>
      <c r="CF45" s="647"/>
      <c r="CG45" s="647"/>
      <c r="CH45" s="647"/>
      <c r="CI45" s="647"/>
      <c r="CJ45" s="647"/>
      <c r="CK45" s="647"/>
      <c r="CL45" s="647"/>
      <c r="CM45" s="647"/>
      <c r="CN45" s="647"/>
    </row>
    <row r="46" spans="1:92" ht="24.6" customHeight="1">
      <c r="A46" s="647"/>
      <c r="B46" s="661" t="s">
        <v>99</v>
      </c>
      <c r="C46" s="661" t="s">
        <v>65</v>
      </c>
      <c r="D46" s="661" t="s">
        <v>2</v>
      </c>
      <c r="E46" s="662" t="s">
        <v>2</v>
      </c>
      <c r="F46" s="647"/>
      <c r="G46" s="647"/>
      <c r="H46" s="647"/>
      <c r="I46" s="647"/>
      <c r="J46" s="647"/>
      <c r="K46" s="647"/>
      <c r="L46" s="647"/>
      <c r="M46" s="647"/>
      <c r="N46" s="647"/>
      <c r="O46" s="647"/>
      <c r="P46" s="647"/>
      <c r="Q46" s="647"/>
      <c r="R46" s="647"/>
      <c r="S46" s="647"/>
      <c r="T46" s="647"/>
      <c r="U46" s="647"/>
      <c r="V46" s="647"/>
      <c r="W46" s="647"/>
      <c r="X46" s="647"/>
      <c r="Y46" s="647"/>
      <c r="Z46" s="647"/>
      <c r="AA46" s="647"/>
      <c r="AB46" s="647"/>
      <c r="AC46" s="647"/>
      <c r="AD46" s="647"/>
      <c r="AE46" s="647"/>
      <c r="AF46" s="647"/>
      <c r="AG46" s="647"/>
      <c r="AH46" s="647"/>
      <c r="AI46" s="647"/>
      <c r="AJ46" s="647"/>
      <c r="AK46" s="647"/>
      <c r="AL46" s="647"/>
      <c r="AM46" s="647"/>
      <c r="AN46" s="647"/>
      <c r="AO46" s="647"/>
      <c r="AP46" s="647"/>
      <c r="AQ46" s="647"/>
      <c r="AR46" s="647"/>
      <c r="AS46" s="647"/>
      <c r="AT46" s="647"/>
      <c r="AU46" s="647"/>
      <c r="AV46" s="647"/>
      <c r="AW46" s="647"/>
      <c r="AX46" s="647"/>
      <c r="AY46" s="647"/>
      <c r="AZ46" s="647"/>
      <c r="BA46" s="647"/>
      <c r="BB46" s="647"/>
      <c r="BC46" s="647"/>
      <c r="BD46" s="647"/>
      <c r="BE46" s="647"/>
      <c r="BF46" s="647"/>
      <c r="BG46" s="647"/>
      <c r="BH46" s="647"/>
      <c r="BI46" s="647"/>
      <c r="BJ46" s="647"/>
      <c r="BK46" s="647"/>
      <c r="BL46" s="647"/>
      <c r="BM46" s="647"/>
      <c r="BN46" s="647"/>
      <c r="BO46" s="647"/>
      <c r="BP46" s="647"/>
      <c r="BQ46" s="647"/>
      <c r="BR46" s="647"/>
      <c r="BS46" s="647"/>
      <c r="BT46" s="647"/>
      <c r="BU46" s="647"/>
      <c r="BV46" s="647"/>
      <c r="BW46" s="647"/>
      <c r="BX46" s="647"/>
      <c r="BY46" s="647"/>
      <c r="BZ46" s="647"/>
      <c r="CA46" s="647"/>
      <c r="CB46" s="647"/>
      <c r="CC46" s="647"/>
      <c r="CD46" s="647"/>
      <c r="CE46" s="647"/>
      <c r="CF46" s="647"/>
      <c r="CG46" s="647"/>
      <c r="CH46" s="647"/>
      <c r="CI46" s="647"/>
      <c r="CJ46" s="647"/>
      <c r="CK46" s="647"/>
      <c r="CL46" s="647"/>
      <c r="CM46" s="647"/>
      <c r="CN46" s="647"/>
    </row>
    <row r="47" spans="1:92">
      <c r="A47" s="647"/>
      <c r="B47" s="663" t="s">
        <v>1027</v>
      </c>
      <c r="C47" s="663" t="s">
        <v>1007</v>
      </c>
      <c r="D47" s="664">
        <v>0</v>
      </c>
      <c r="E47" s="665">
        <v>0</v>
      </c>
      <c r="F47" s="647"/>
      <c r="G47" s="647"/>
      <c r="H47" s="647"/>
      <c r="I47" s="647"/>
      <c r="J47" s="647"/>
      <c r="K47" s="647"/>
      <c r="L47" s="647"/>
      <c r="M47" s="647"/>
      <c r="N47" s="647"/>
      <c r="O47" s="647"/>
      <c r="P47" s="647"/>
      <c r="Q47" s="647"/>
      <c r="R47" s="647"/>
      <c r="S47" s="647"/>
      <c r="T47" s="647"/>
      <c r="U47" s="647"/>
      <c r="V47" s="647"/>
      <c r="W47" s="647"/>
      <c r="X47" s="647"/>
      <c r="Y47" s="647"/>
      <c r="Z47" s="647"/>
      <c r="AA47" s="647"/>
      <c r="AB47" s="647"/>
      <c r="AC47" s="647"/>
      <c r="AD47" s="647"/>
      <c r="AE47" s="647"/>
      <c r="AF47" s="647"/>
      <c r="AG47" s="647"/>
      <c r="AH47" s="647"/>
      <c r="AI47" s="647"/>
      <c r="AJ47" s="647"/>
      <c r="AK47" s="647"/>
      <c r="AL47" s="647"/>
      <c r="AM47" s="647"/>
      <c r="AN47" s="647"/>
      <c r="AO47" s="647"/>
      <c r="AP47" s="647"/>
      <c r="AQ47" s="647"/>
      <c r="AR47" s="647"/>
      <c r="AS47" s="647"/>
      <c r="AT47" s="647"/>
      <c r="AU47" s="647"/>
      <c r="AV47" s="647"/>
      <c r="AW47" s="647"/>
      <c r="AX47" s="647"/>
      <c r="AY47" s="647"/>
      <c r="AZ47" s="647"/>
      <c r="BA47" s="647"/>
      <c r="BB47" s="647"/>
      <c r="BC47" s="647"/>
      <c r="BD47" s="647"/>
      <c r="BE47" s="647"/>
      <c r="BF47" s="647"/>
      <c r="BG47" s="647"/>
      <c r="BH47" s="647"/>
      <c r="BI47" s="647"/>
      <c r="BJ47" s="647"/>
      <c r="BK47" s="647"/>
      <c r="BL47" s="647"/>
      <c r="BM47" s="647"/>
      <c r="BN47" s="647"/>
      <c r="BO47" s="647"/>
      <c r="BP47" s="647"/>
      <c r="BQ47" s="647"/>
      <c r="BR47" s="647"/>
      <c r="BS47" s="647"/>
      <c r="BT47" s="647"/>
      <c r="BU47" s="647"/>
      <c r="BV47" s="647"/>
      <c r="BW47" s="647"/>
      <c r="BX47" s="647"/>
      <c r="BY47" s="647"/>
      <c r="BZ47" s="647"/>
      <c r="CA47" s="647"/>
      <c r="CB47" s="647"/>
      <c r="CC47" s="647"/>
      <c r="CD47" s="647"/>
      <c r="CE47" s="647"/>
      <c r="CF47" s="647"/>
      <c r="CG47" s="647"/>
      <c r="CH47" s="647"/>
      <c r="CI47" s="647"/>
      <c r="CJ47" s="647"/>
      <c r="CK47" s="647"/>
      <c r="CL47" s="647"/>
      <c r="CM47" s="647"/>
      <c r="CN47" s="647"/>
    </row>
    <row r="48" spans="1:92">
      <c r="A48" s="647"/>
      <c r="B48" s="663" t="s">
        <v>1007</v>
      </c>
      <c r="C48" s="666" t="s">
        <v>95</v>
      </c>
      <c r="D48" s="664">
        <v>0</v>
      </c>
      <c r="E48" s="665">
        <v>0</v>
      </c>
      <c r="F48" s="647"/>
      <c r="G48" s="647"/>
      <c r="H48" s="647"/>
      <c r="I48" s="647"/>
      <c r="J48" s="647"/>
      <c r="K48" s="647"/>
      <c r="L48" s="647"/>
      <c r="M48" s="647"/>
      <c r="N48" s="647"/>
      <c r="O48" s="647"/>
      <c r="P48" s="647"/>
      <c r="Q48" s="647"/>
      <c r="R48" s="647"/>
      <c r="S48" s="647"/>
      <c r="T48" s="647"/>
      <c r="U48" s="647"/>
      <c r="V48" s="647"/>
      <c r="W48" s="647"/>
      <c r="X48" s="647"/>
      <c r="Y48" s="647"/>
      <c r="Z48" s="647"/>
      <c r="AA48" s="647"/>
      <c r="AB48" s="647"/>
      <c r="AC48" s="647"/>
      <c r="AD48" s="647"/>
      <c r="AE48" s="647"/>
      <c r="AF48" s="647"/>
      <c r="AG48" s="647"/>
      <c r="AH48" s="647"/>
      <c r="AI48" s="647"/>
      <c r="AJ48" s="647"/>
      <c r="AK48" s="647"/>
      <c r="AL48" s="647"/>
      <c r="AM48" s="647"/>
      <c r="AN48" s="647"/>
      <c r="AO48" s="647"/>
      <c r="AP48" s="647"/>
      <c r="AQ48" s="647"/>
      <c r="AR48" s="647"/>
      <c r="AS48" s="647"/>
      <c r="AT48" s="647"/>
      <c r="AU48" s="647"/>
      <c r="AV48" s="647"/>
      <c r="AW48" s="647"/>
      <c r="AX48" s="647"/>
      <c r="AY48" s="647"/>
      <c r="AZ48" s="647"/>
      <c r="BA48" s="647"/>
      <c r="BB48" s="647"/>
      <c r="BC48" s="647"/>
      <c r="BD48" s="647"/>
      <c r="BE48" s="647"/>
      <c r="BF48" s="647"/>
      <c r="BG48" s="647"/>
      <c r="BH48" s="647"/>
      <c r="BI48" s="647"/>
      <c r="BJ48" s="647"/>
      <c r="BK48" s="647"/>
      <c r="BL48" s="647"/>
      <c r="BM48" s="647"/>
      <c r="BN48" s="647"/>
      <c r="BO48" s="647"/>
      <c r="BP48" s="647"/>
      <c r="BQ48" s="647"/>
      <c r="BR48" s="647"/>
      <c r="BS48" s="647"/>
      <c r="BT48" s="647"/>
      <c r="BU48" s="647"/>
      <c r="BV48" s="647"/>
      <c r="BW48" s="647"/>
      <c r="BX48" s="647"/>
      <c r="BY48" s="647"/>
      <c r="BZ48" s="647"/>
      <c r="CA48" s="647"/>
      <c r="CB48" s="647"/>
      <c r="CC48" s="647"/>
      <c r="CD48" s="647"/>
      <c r="CE48" s="647"/>
      <c r="CF48" s="647"/>
      <c r="CG48" s="647"/>
      <c r="CH48" s="647"/>
      <c r="CI48" s="647"/>
      <c r="CJ48" s="647"/>
      <c r="CK48" s="647"/>
      <c r="CL48" s="647"/>
      <c r="CM48" s="647"/>
      <c r="CN48" s="647"/>
    </row>
    <row r="49" spans="1:92">
      <c r="A49" s="647" t="s">
        <v>1007</v>
      </c>
      <c r="B49" s="647" t="s">
        <v>1007</v>
      </c>
      <c r="C49" s="647" t="s">
        <v>1007</v>
      </c>
      <c r="D49" s="647" t="s">
        <v>1007</v>
      </c>
      <c r="F49" s="647"/>
      <c r="G49" s="647"/>
      <c r="H49" s="647"/>
      <c r="I49" s="647"/>
      <c r="J49" s="647"/>
      <c r="K49" s="647"/>
      <c r="L49" s="647"/>
      <c r="M49" s="647"/>
      <c r="N49" s="647"/>
      <c r="O49" s="647"/>
      <c r="P49" s="647"/>
      <c r="Q49" s="647"/>
      <c r="R49" s="647"/>
      <c r="S49" s="647"/>
      <c r="T49" s="647"/>
      <c r="U49" s="647"/>
      <c r="V49" s="647"/>
      <c r="W49" s="647"/>
      <c r="X49" s="647"/>
      <c r="Y49" s="647"/>
      <c r="Z49" s="647"/>
      <c r="AA49" s="647"/>
      <c r="AB49" s="647"/>
      <c r="AC49" s="647"/>
      <c r="AD49" s="647"/>
      <c r="AE49" s="647"/>
      <c r="AF49" s="647"/>
      <c r="AG49" s="647"/>
      <c r="AH49" s="647"/>
      <c r="AI49" s="647"/>
      <c r="AJ49" s="647"/>
      <c r="AK49" s="647"/>
      <c r="AL49" s="647"/>
      <c r="AM49" s="647"/>
      <c r="AN49" s="729"/>
      <c r="AO49" s="729"/>
      <c r="AP49" s="729"/>
      <c r="AQ49" s="729"/>
      <c r="AR49" s="729"/>
      <c r="AS49" s="729"/>
      <c r="AT49" s="729"/>
      <c r="AU49" s="729"/>
      <c r="AV49" s="729"/>
      <c r="AW49" s="729"/>
      <c r="AX49" s="729"/>
      <c r="AY49" s="729"/>
      <c r="AZ49" s="729"/>
      <c r="BA49" s="729"/>
      <c r="BB49" s="729"/>
      <c r="BC49" s="729"/>
      <c r="BD49" s="729"/>
      <c r="BE49" s="729"/>
      <c r="BF49" s="729"/>
      <c r="BG49" s="729"/>
      <c r="BH49" s="729"/>
      <c r="BI49" s="729"/>
      <c r="BJ49" s="729"/>
      <c r="BK49" s="729"/>
      <c r="BL49" s="729"/>
      <c r="BM49" s="729"/>
      <c r="BN49" s="729"/>
      <c r="BO49" s="729"/>
      <c r="BP49" s="729"/>
      <c r="BQ49" s="729"/>
      <c r="BR49" s="729"/>
      <c r="BS49" s="729"/>
      <c r="BT49" s="729"/>
      <c r="BU49" s="729"/>
      <c r="BV49" s="729"/>
      <c r="BW49" s="729"/>
      <c r="BX49" s="729"/>
      <c r="BY49" s="729"/>
      <c r="BZ49" s="729"/>
      <c r="CA49" s="729"/>
      <c r="CB49" s="729"/>
      <c r="CC49" s="729"/>
      <c r="CD49" s="729"/>
      <c r="CE49" s="729"/>
      <c r="CF49" s="729"/>
      <c r="CG49" s="729"/>
      <c r="CH49" s="729"/>
      <c r="CI49" s="729"/>
      <c r="CJ49" s="729"/>
      <c r="CK49" s="729"/>
      <c r="CL49" s="729"/>
      <c r="CM49" s="729"/>
      <c r="CN49" s="729"/>
    </row>
    <row r="50" spans="1:92">
      <c r="A50" s="646" t="s">
        <v>1001</v>
      </c>
      <c r="B50" s="647"/>
      <c r="C50" s="647"/>
      <c r="D50" s="647"/>
      <c r="F50" s="647"/>
      <c r="G50" s="647"/>
      <c r="H50" s="647"/>
      <c r="I50" s="647"/>
      <c r="J50" s="647"/>
    </row>
    <row r="51" spans="1:92">
      <c r="A51" s="647"/>
      <c r="B51" s="646" t="s">
        <v>1028</v>
      </c>
      <c r="C51" s="647"/>
      <c r="D51" s="647"/>
      <c r="F51" s="647"/>
      <c r="G51" s="647"/>
      <c r="H51" s="647"/>
      <c r="I51" s="647"/>
      <c r="J51" s="647"/>
    </row>
    <row r="52" spans="1:92">
      <c r="A52" s="647"/>
      <c r="B52" s="647"/>
      <c r="C52" s="647"/>
      <c r="D52" s="647"/>
      <c r="F52" s="647"/>
      <c r="G52" s="647"/>
      <c r="H52" s="647"/>
      <c r="I52" s="647"/>
      <c r="J52" s="660"/>
    </row>
    <row r="53" spans="1:92" s="14" customFormat="1" ht="32.450000000000003" customHeight="1">
      <c r="A53" s="650"/>
      <c r="C53" s="651" t="s">
        <v>65</v>
      </c>
      <c r="D53" s="651" t="s">
        <v>1253</v>
      </c>
      <c r="E53" s="651" t="s">
        <v>1254</v>
      </c>
      <c r="F53" s="651" t="s">
        <v>1255</v>
      </c>
      <c r="G53" s="651" t="s">
        <v>1256</v>
      </c>
      <c r="H53" s="651" t="s">
        <v>1257</v>
      </c>
      <c r="I53" s="651" t="s">
        <v>1258</v>
      </c>
      <c r="J53" s="651" t="s">
        <v>1252</v>
      </c>
    </row>
    <row r="54" spans="1:92">
      <c r="A54" s="647"/>
      <c r="C54" s="669" t="s">
        <v>1259</v>
      </c>
      <c r="D54" s="670">
        <v>0</v>
      </c>
      <c r="E54" s="670">
        <v>0</v>
      </c>
      <c r="F54" s="670">
        <v>0</v>
      </c>
      <c r="G54" s="670">
        <v>865854.38</v>
      </c>
      <c r="H54" s="670">
        <v>0</v>
      </c>
      <c r="I54" s="670">
        <v>0</v>
      </c>
      <c r="J54" s="670">
        <v>865854.38</v>
      </c>
    </row>
    <row r="55" spans="1:92">
      <c r="A55" s="647"/>
      <c r="C55" s="669" t="s">
        <v>1260</v>
      </c>
      <c r="D55" s="670">
        <v>0</v>
      </c>
      <c r="E55" s="670">
        <v>0</v>
      </c>
      <c r="F55" s="670">
        <v>0</v>
      </c>
      <c r="G55" s="670">
        <v>467000654.24000001</v>
      </c>
      <c r="H55" s="670">
        <v>0</v>
      </c>
      <c r="I55" s="670">
        <v>0</v>
      </c>
      <c r="J55" s="670">
        <v>467000654.24000001</v>
      </c>
    </row>
    <row r="56" spans="1:92">
      <c r="A56" s="647"/>
      <c r="C56" s="669" t="s">
        <v>1261</v>
      </c>
      <c r="D56" s="670">
        <v>0</v>
      </c>
      <c r="E56" s="670">
        <v>0</v>
      </c>
      <c r="F56" s="670">
        <v>0</v>
      </c>
      <c r="G56" s="670">
        <v>207523723.27000001</v>
      </c>
      <c r="H56" s="670">
        <v>0</v>
      </c>
      <c r="I56" s="670">
        <v>0</v>
      </c>
      <c r="J56" s="670">
        <v>207523723.27000001</v>
      </c>
    </row>
    <row r="57" spans="1:92">
      <c r="A57" s="647"/>
      <c r="C57" s="669" t="s">
        <v>1262</v>
      </c>
      <c r="D57" s="670">
        <v>0</v>
      </c>
      <c r="E57" s="670">
        <v>0</v>
      </c>
      <c r="F57" s="670">
        <v>0</v>
      </c>
      <c r="G57" s="670">
        <v>260342785.34999999</v>
      </c>
      <c r="H57" s="670">
        <v>0</v>
      </c>
      <c r="I57" s="670">
        <v>0</v>
      </c>
      <c r="J57" s="670">
        <v>260342785.34999999</v>
      </c>
    </row>
    <row r="58" spans="1:92">
      <c r="A58" s="647"/>
      <c r="C58" s="669" t="s">
        <v>1263</v>
      </c>
      <c r="D58" s="670">
        <v>0</v>
      </c>
      <c r="E58" s="670">
        <v>0</v>
      </c>
      <c r="F58" s="670">
        <v>0</v>
      </c>
      <c r="G58" s="670">
        <v>0</v>
      </c>
      <c r="H58" s="670">
        <v>0</v>
      </c>
      <c r="I58" s="670">
        <v>0</v>
      </c>
      <c r="J58" s="670">
        <v>0</v>
      </c>
    </row>
    <row r="59" spans="1:92">
      <c r="A59" s="647"/>
      <c r="C59" s="669" t="s">
        <v>1264</v>
      </c>
      <c r="D59" s="670">
        <v>0</v>
      </c>
      <c r="E59" s="670">
        <v>0</v>
      </c>
      <c r="F59" s="670">
        <v>0</v>
      </c>
      <c r="G59" s="670">
        <v>0</v>
      </c>
      <c r="H59" s="670">
        <v>0</v>
      </c>
      <c r="I59" s="670">
        <v>0</v>
      </c>
      <c r="J59" s="670">
        <v>0</v>
      </c>
    </row>
    <row r="60" spans="1:92">
      <c r="A60" s="647"/>
      <c r="C60" s="669" t="s">
        <v>1265</v>
      </c>
      <c r="D60" s="670">
        <v>0</v>
      </c>
      <c r="E60" s="670">
        <v>0</v>
      </c>
      <c r="F60" s="670">
        <v>0</v>
      </c>
      <c r="G60" s="670">
        <v>260342785.34999999</v>
      </c>
      <c r="H60" s="670">
        <v>0</v>
      </c>
      <c r="I60" s="670">
        <v>0</v>
      </c>
      <c r="J60" s="670">
        <v>260342785.34999999</v>
      </c>
    </row>
    <row r="61" spans="1:92">
      <c r="A61" s="647"/>
      <c r="C61" s="669" t="s">
        <v>1266</v>
      </c>
      <c r="D61" s="670">
        <v>0</v>
      </c>
      <c r="E61" s="670">
        <v>0</v>
      </c>
      <c r="F61" s="670">
        <v>0</v>
      </c>
      <c r="G61" s="670">
        <v>865854.38</v>
      </c>
      <c r="H61" s="670">
        <v>0</v>
      </c>
      <c r="I61" s="670">
        <v>0</v>
      </c>
      <c r="J61" s="670">
        <v>865854.38</v>
      </c>
    </row>
    <row r="62" spans="1:92">
      <c r="A62" s="647"/>
      <c r="C62" s="669" t="s">
        <v>1267</v>
      </c>
      <c r="D62" s="670">
        <v>0</v>
      </c>
      <c r="E62" s="670">
        <v>0</v>
      </c>
      <c r="F62" s="670">
        <v>0</v>
      </c>
      <c r="G62" s="670">
        <v>260342785.34999999</v>
      </c>
      <c r="H62" s="670">
        <v>0</v>
      </c>
      <c r="I62" s="670">
        <v>0</v>
      </c>
      <c r="J62" s="670">
        <v>260342785.34999999</v>
      </c>
    </row>
    <row r="63" spans="1:92">
      <c r="A63" s="647"/>
      <c r="B63" s="646" t="s">
        <v>1032</v>
      </c>
      <c r="C63" s="647"/>
      <c r="D63" s="647"/>
      <c r="F63" s="647"/>
      <c r="G63" s="647"/>
      <c r="H63" s="647"/>
      <c r="I63" s="647"/>
      <c r="J63" s="647"/>
    </row>
    <row r="64" spans="1:92">
      <c r="A64" s="647"/>
      <c r="B64" s="660" t="s">
        <v>1007</v>
      </c>
      <c r="C64" s="647"/>
      <c r="D64" s="647"/>
      <c r="F64" s="647"/>
      <c r="G64" s="647"/>
      <c r="H64" s="647"/>
      <c r="I64" s="647"/>
      <c r="J64" s="647"/>
    </row>
    <row r="65" spans="1:92">
      <c r="A65" s="647" t="s">
        <v>1007</v>
      </c>
      <c r="B65" s="647" t="s">
        <v>1007</v>
      </c>
      <c r="C65" s="647" t="s">
        <v>1007</v>
      </c>
      <c r="D65" s="647" t="s">
        <v>1007</v>
      </c>
      <c r="F65" s="647"/>
      <c r="G65" s="647"/>
      <c r="H65" s="647"/>
      <c r="I65" s="647"/>
      <c r="J65" s="647"/>
      <c r="K65" s="647"/>
      <c r="L65" s="647"/>
      <c r="M65" s="647"/>
      <c r="N65" s="647"/>
      <c r="O65" s="647"/>
      <c r="P65" s="647"/>
      <c r="Q65" s="647"/>
      <c r="R65" s="647"/>
      <c r="S65" s="647"/>
      <c r="T65" s="647"/>
      <c r="U65" s="647"/>
      <c r="V65" s="647"/>
      <c r="W65" s="647"/>
      <c r="X65" s="647"/>
      <c r="Y65" s="647"/>
      <c r="Z65" s="647"/>
      <c r="AA65" s="647"/>
      <c r="AB65" s="647"/>
      <c r="AC65" s="647"/>
      <c r="AD65" s="647"/>
      <c r="AE65" s="647"/>
      <c r="AF65" s="647"/>
      <c r="AG65" s="647"/>
      <c r="AH65" s="647"/>
      <c r="AI65" s="647"/>
      <c r="AJ65" s="647"/>
      <c r="AK65" s="647"/>
      <c r="AL65" s="647"/>
      <c r="AM65" s="647"/>
      <c r="AN65" s="729"/>
      <c r="AO65" s="729"/>
      <c r="AP65" s="729"/>
      <c r="AQ65" s="729"/>
      <c r="AR65" s="729"/>
      <c r="AS65" s="729"/>
      <c r="AT65" s="729"/>
      <c r="AU65" s="729"/>
      <c r="AV65" s="729"/>
      <c r="AW65" s="729"/>
      <c r="AX65" s="729"/>
      <c r="AY65" s="729"/>
      <c r="AZ65" s="729"/>
      <c r="BA65" s="729"/>
      <c r="BB65" s="729"/>
      <c r="BC65" s="729"/>
      <c r="BD65" s="729"/>
      <c r="BE65" s="729"/>
      <c r="BF65" s="729"/>
      <c r="BG65" s="729"/>
      <c r="BH65" s="729"/>
      <c r="BI65" s="729"/>
      <c r="BJ65" s="729"/>
      <c r="BK65" s="729"/>
      <c r="BL65" s="729"/>
      <c r="BM65" s="729"/>
      <c r="BN65" s="729"/>
      <c r="BO65" s="729"/>
      <c r="BP65" s="729"/>
      <c r="BQ65" s="729"/>
      <c r="BR65" s="729"/>
      <c r="BS65" s="729"/>
      <c r="BT65" s="729"/>
      <c r="BU65" s="729"/>
      <c r="BV65" s="729"/>
      <c r="BW65" s="729"/>
      <c r="BX65" s="729"/>
      <c r="BY65" s="729"/>
      <c r="BZ65" s="729"/>
      <c r="CA65" s="729"/>
      <c r="CB65" s="729"/>
      <c r="CC65" s="729"/>
      <c r="CD65" s="729"/>
      <c r="CE65" s="729"/>
      <c r="CF65" s="729"/>
      <c r="CG65" s="729"/>
      <c r="CH65" s="729"/>
      <c r="CI65" s="729"/>
      <c r="CJ65" s="729"/>
      <c r="CK65" s="729"/>
      <c r="CL65" s="729"/>
      <c r="CM65" s="729"/>
      <c r="CN65" s="729"/>
    </row>
    <row r="66" spans="1:92">
      <c r="A66" s="646" t="s">
        <v>1001</v>
      </c>
      <c r="B66" s="647"/>
      <c r="C66" s="647"/>
      <c r="D66" s="647"/>
      <c r="F66" s="647"/>
      <c r="G66" s="647"/>
      <c r="H66" s="647"/>
      <c r="I66" s="647"/>
      <c r="J66" s="647"/>
      <c r="K66" s="647"/>
      <c r="L66" s="647"/>
      <c r="M66" s="647"/>
      <c r="N66" s="647"/>
      <c r="O66" s="647"/>
      <c r="P66" s="647"/>
      <c r="Q66" s="647"/>
      <c r="R66" s="647"/>
      <c r="S66" s="647"/>
      <c r="T66" s="647"/>
      <c r="U66" s="647"/>
      <c r="V66" s="647"/>
      <c r="W66" s="647"/>
      <c r="X66" s="647"/>
      <c r="Y66" s="647"/>
      <c r="Z66" s="647"/>
      <c r="AA66" s="647"/>
      <c r="AB66" s="647"/>
      <c r="AC66" s="647"/>
      <c r="AD66" s="647"/>
      <c r="AE66" s="647"/>
      <c r="AF66" s="647"/>
      <c r="AG66" s="647"/>
      <c r="AH66" s="647"/>
      <c r="AI66" s="647"/>
      <c r="AJ66" s="647"/>
      <c r="AK66" s="647"/>
      <c r="AL66" s="647"/>
      <c r="AM66" s="647"/>
      <c r="AN66" s="647"/>
      <c r="AO66" s="647"/>
      <c r="AP66" s="647"/>
      <c r="AQ66" s="647"/>
      <c r="AR66" s="647"/>
      <c r="AS66" s="647"/>
      <c r="AT66" s="647"/>
      <c r="AU66" s="647"/>
      <c r="AV66" s="647"/>
      <c r="AW66" s="647"/>
      <c r="AX66" s="647"/>
      <c r="AY66" s="647"/>
      <c r="AZ66" s="647"/>
      <c r="BA66" s="647"/>
      <c r="BB66" s="647"/>
      <c r="BC66" s="647"/>
      <c r="BD66" s="647"/>
      <c r="BE66" s="647"/>
      <c r="BF66" s="647"/>
      <c r="BG66" s="647"/>
      <c r="BH66" s="647"/>
      <c r="BI66" s="647"/>
      <c r="BJ66" s="647"/>
      <c r="BK66" s="647"/>
      <c r="BL66" s="647"/>
      <c r="BM66" s="647"/>
      <c r="BN66" s="647"/>
      <c r="BO66" s="647"/>
      <c r="BP66" s="647"/>
      <c r="BQ66" s="647"/>
      <c r="BR66" s="647"/>
      <c r="BS66" s="647"/>
      <c r="BT66" s="647"/>
      <c r="BU66" s="647"/>
      <c r="BV66" s="647"/>
      <c r="BW66" s="647"/>
      <c r="BX66" s="647"/>
      <c r="BY66" s="647"/>
      <c r="BZ66" s="647"/>
      <c r="CA66" s="647"/>
      <c r="CB66" s="647"/>
      <c r="CC66" s="647"/>
      <c r="CD66" s="647"/>
      <c r="CE66" s="647"/>
      <c r="CF66" s="647"/>
      <c r="CG66" s="647"/>
      <c r="CH66" s="647"/>
      <c r="CI66" s="647"/>
      <c r="CJ66" s="647"/>
      <c r="CK66" s="647"/>
      <c r="CL66" s="647"/>
      <c r="CM66" s="647"/>
      <c r="CN66" s="647"/>
    </row>
    <row r="67" spans="1:92">
      <c r="A67" s="647"/>
      <c r="B67" s="646" t="s">
        <v>1033</v>
      </c>
      <c r="C67" s="647"/>
      <c r="D67" s="647"/>
      <c r="F67" s="647"/>
      <c r="G67" s="647"/>
      <c r="H67" s="647"/>
      <c r="I67" s="647"/>
      <c r="J67" s="647"/>
      <c r="K67" s="647"/>
      <c r="L67" s="647"/>
      <c r="M67" s="647"/>
      <c r="N67" s="647"/>
      <c r="O67" s="647"/>
      <c r="P67" s="647"/>
      <c r="Q67" s="647"/>
      <c r="R67" s="647"/>
      <c r="S67" s="647"/>
      <c r="T67" s="647"/>
      <c r="U67" s="647"/>
      <c r="V67" s="647"/>
      <c r="W67" s="647"/>
      <c r="X67" s="647"/>
      <c r="Y67" s="647"/>
      <c r="Z67" s="647"/>
      <c r="AA67" s="647"/>
      <c r="AB67" s="647"/>
      <c r="AC67" s="647"/>
      <c r="AD67" s="647"/>
      <c r="AE67" s="647"/>
      <c r="AF67" s="647"/>
      <c r="AG67" s="647"/>
      <c r="AH67" s="647"/>
      <c r="AI67" s="647"/>
      <c r="AJ67" s="647"/>
      <c r="AK67" s="647"/>
      <c r="AL67" s="647"/>
      <c r="AM67" s="647"/>
      <c r="AN67" s="647"/>
      <c r="AO67" s="647"/>
      <c r="AP67" s="647"/>
      <c r="AQ67" s="647"/>
      <c r="AR67" s="647"/>
      <c r="AS67" s="647"/>
      <c r="AT67" s="647"/>
      <c r="AU67" s="647"/>
      <c r="AV67" s="647"/>
      <c r="AW67" s="647"/>
      <c r="AX67" s="647"/>
      <c r="AY67" s="647"/>
      <c r="AZ67" s="647"/>
      <c r="BA67" s="647"/>
      <c r="BB67" s="647"/>
      <c r="BC67" s="647"/>
      <c r="BD67" s="647"/>
      <c r="BE67" s="647"/>
      <c r="BF67" s="647"/>
      <c r="BG67" s="647"/>
      <c r="BH67" s="647"/>
      <c r="BI67" s="647"/>
      <c r="BJ67" s="647"/>
      <c r="BK67" s="647"/>
      <c r="BL67" s="647"/>
      <c r="BM67" s="647"/>
      <c r="BN67" s="647"/>
      <c r="BO67" s="647"/>
      <c r="BP67" s="647"/>
      <c r="BQ67" s="647"/>
      <c r="BR67" s="647"/>
      <c r="BS67" s="647"/>
      <c r="BT67" s="647"/>
      <c r="BU67" s="647"/>
      <c r="BV67" s="647"/>
      <c r="BW67" s="647"/>
      <c r="BX67" s="647"/>
      <c r="BY67" s="647"/>
      <c r="BZ67" s="647"/>
      <c r="CA67" s="647"/>
      <c r="CB67" s="647"/>
      <c r="CC67" s="647"/>
      <c r="CD67" s="647"/>
      <c r="CE67" s="647"/>
      <c r="CF67" s="647"/>
      <c r="CG67" s="647"/>
      <c r="CH67" s="647"/>
      <c r="CI67" s="647"/>
      <c r="CJ67" s="647"/>
      <c r="CK67" s="647"/>
      <c r="CL67" s="647"/>
      <c r="CM67" s="647"/>
      <c r="CN67" s="647"/>
    </row>
    <row r="68" spans="1:92">
      <c r="A68" s="647"/>
      <c r="B68" s="647"/>
      <c r="C68" s="647"/>
      <c r="D68" s="647"/>
      <c r="E68" s="649"/>
      <c r="F68" s="647"/>
      <c r="G68" s="647"/>
      <c r="H68" s="647"/>
      <c r="I68" s="647"/>
      <c r="J68" s="647"/>
      <c r="K68" s="647"/>
      <c r="L68" s="647"/>
      <c r="M68" s="647"/>
      <c r="N68" s="647"/>
      <c r="O68" s="647"/>
      <c r="P68" s="647"/>
      <c r="Q68" s="647"/>
      <c r="R68" s="647"/>
      <c r="S68" s="647"/>
      <c r="T68" s="647"/>
      <c r="U68" s="647"/>
      <c r="V68" s="647"/>
      <c r="W68" s="647"/>
      <c r="X68" s="647"/>
      <c r="Y68" s="647"/>
      <c r="Z68" s="647"/>
      <c r="AA68" s="647"/>
      <c r="AB68" s="647"/>
      <c r="AC68" s="647"/>
      <c r="AD68" s="647"/>
      <c r="AE68" s="647"/>
      <c r="AF68" s="647"/>
      <c r="AG68" s="647"/>
      <c r="AH68" s="647"/>
      <c r="AI68" s="647"/>
      <c r="AJ68" s="647"/>
      <c r="AK68" s="647"/>
      <c r="AL68" s="647"/>
      <c r="AM68" s="647"/>
      <c r="AN68" s="647"/>
      <c r="AO68" s="647"/>
      <c r="AP68" s="647"/>
      <c r="AQ68" s="647"/>
      <c r="AR68" s="647"/>
      <c r="AS68" s="647"/>
      <c r="AT68" s="647"/>
      <c r="AU68" s="647"/>
      <c r="AV68" s="647"/>
      <c r="AW68" s="647"/>
      <c r="AX68" s="647"/>
      <c r="AY68" s="647"/>
      <c r="AZ68" s="647"/>
      <c r="BA68" s="647"/>
      <c r="BB68" s="647"/>
      <c r="BC68" s="647"/>
      <c r="BD68" s="647"/>
      <c r="BE68" s="647"/>
      <c r="BF68" s="647"/>
      <c r="BG68" s="647"/>
      <c r="BH68" s="647"/>
      <c r="BI68" s="647"/>
      <c r="BJ68" s="647"/>
      <c r="BK68" s="647"/>
      <c r="BL68" s="647"/>
      <c r="BM68" s="647"/>
      <c r="BN68" s="647"/>
      <c r="BO68" s="647"/>
      <c r="BP68" s="647"/>
      <c r="BQ68" s="647"/>
      <c r="BR68" s="647"/>
      <c r="BS68" s="647"/>
      <c r="BT68" s="647"/>
      <c r="BU68" s="647"/>
      <c r="BV68" s="647"/>
      <c r="BW68" s="647"/>
      <c r="BX68" s="647"/>
      <c r="BY68" s="647"/>
      <c r="BZ68" s="647"/>
      <c r="CA68" s="647"/>
      <c r="CB68" s="647"/>
      <c r="CC68" s="647"/>
      <c r="CD68" s="647"/>
      <c r="CE68" s="647"/>
      <c r="CF68" s="647"/>
      <c r="CG68" s="647"/>
      <c r="CH68" s="647"/>
      <c r="CI68" s="647"/>
      <c r="CJ68" s="647"/>
      <c r="CK68" s="647"/>
      <c r="CL68" s="647"/>
      <c r="CM68" s="647"/>
      <c r="CN68" s="647"/>
    </row>
    <row r="69" spans="1:92" ht="22.15" customHeight="1">
      <c r="A69" s="647"/>
      <c r="B69" s="647"/>
      <c r="C69" s="671" t="s">
        <v>1246</v>
      </c>
      <c r="D69" s="671" t="s">
        <v>5</v>
      </c>
      <c r="E69" s="671" t="s">
        <v>2</v>
      </c>
      <c r="F69" s="647"/>
      <c r="G69" s="647"/>
      <c r="H69" s="647"/>
      <c r="I69" s="647"/>
      <c r="J69" s="647"/>
      <c r="K69" s="647"/>
      <c r="L69" s="647"/>
      <c r="M69" s="647"/>
      <c r="N69" s="647"/>
      <c r="O69" s="647"/>
      <c r="P69" s="647"/>
      <c r="Q69" s="647"/>
      <c r="R69" s="647"/>
      <c r="S69" s="647"/>
      <c r="T69" s="647"/>
      <c r="U69" s="647"/>
      <c r="V69" s="647"/>
      <c r="W69" s="647"/>
      <c r="X69" s="647"/>
      <c r="Y69" s="647"/>
      <c r="Z69" s="647"/>
      <c r="AA69" s="647"/>
      <c r="AB69" s="647"/>
      <c r="AC69" s="647"/>
      <c r="AD69" s="647"/>
      <c r="AE69" s="647"/>
      <c r="AF69" s="647"/>
      <c r="AG69" s="647"/>
      <c r="AH69" s="647"/>
      <c r="AI69" s="647"/>
      <c r="AJ69" s="647"/>
      <c r="AK69" s="647"/>
      <c r="AL69" s="647"/>
      <c r="AM69" s="647"/>
      <c r="AN69" s="647"/>
      <c r="AO69" s="647"/>
      <c r="AP69" s="647"/>
      <c r="AQ69" s="647"/>
      <c r="AR69" s="647"/>
      <c r="AS69" s="647"/>
      <c r="AT69" s="647"/>
      <c r="AU69" s="647"/>
      <c r="AV69" s="647"/>
      <c r="AW69" s="647"/>
      <c r="AX69" s="647"/>
      <c r="AY69" s="647"/>
      <c r="AZ69" s="647"/>
      <c r="BA69" s="647"/>
      <c r="BB69" s="647"/>
      <c r="BC69" s="647"/>
      <c r="BD69" s="647"/>
      <c r="BE69" s="647"/>
      <c r="BF69" s="647"/>
      <c r="BG69" s="647"/>
      <c r="BH69" s="647"/>
      <c r="BI69" s="647"/>
      <c r="BJ69" s="647"/>
      <c r="BK69" s="647"/>
      <c r="BL69" s="647"/>
      <c r="BM69" s="647"/>
      <c r="BN69" s="647"/>
      <c r="BO69" s="647"/>
      <c r="BP69" s="647"/>
      <c r="BQ69" s="647"/>
      <c r="BR69" s="647"/>
      <c r="BS69" s="647"/>
      <c r="BT69" s="647"/>
      <c r="BU69" s="647"/>
      <c r="BV69" s="647"/>
      <c r="BW69" s="647"/>
      <c r="BX69" s="647"/>
      <c r="BY69" s="647"/>
      <c r="BZ69" s="647"/>
      <c r="CA69" s="647"/>
      <c r="CB69" s="647"/>
      <c r="CC69" s="647"/>
      <c r="CD69" s="647"/>
      <c r="CE69" s="647"/>
      <c r="CF69" s="647"/>
      <c r="CG69" s="647"/>
      <c r="CH69" s="647"/>
      <c r="CI69" s="647"/>
      <c r="CJ69" s="647"/>
      <c r="CK69" s="647"/>
      <c r="CL69" s="647"/>
      <c r="CM69" s="647"/>
      <c r="CN69" s="647"/>
    </row>
    <row r="70" spans="1:92" ht="24">
      <c r="A70" s="647"/>
      <c r="B70" s="647"/>
      <c r="C70" s="652" t="s">
        <v>1247</v>
      </c>
      <c r="D70" s="653">
        <v>48117182.130000003</v>
      </c>
      <c r="E70" s="653">
        <v>48117182.130000003</v>
      </c>
      <c r="F70" s="647"/>
      <c r="G70" s="647"/>
      <c r="H70" s="647"/>
      <c r="I70" s="647"/>
      <c r="J70" s="647"/>
      <c r="K70" s="647"/>
      <c r="L70" s="647"/>
      <c r="M70" s="647"/>
      <c r="N70" s="647"/>
      <c r="O70" s="647"/>
      <c r="P70" s="647"/>
      <c r="Q70" s="647"/>
      <c r="R70" s="647"/>
      <c r="S70" s="647"/>
      <c r="T70" s="647"/>
      <c r="U70" s="647"/>
      <c r="V70" s="647"/>
      <c r="W70" s="647"/>
      <c r="X70" s="647"/>
      <c r="Y70" s="647"/>
      <c r="Z70" s="647"/>
      <c r="AA70" s="647"/>
      <c r="AB70" s="647"/>
      <c r="AC70" s="647"/>
      <c r="AD70" s="647"/>
      <c r="AE70" s="647"/>
      <c r="AF70" s="647"/>
      <c r="AG70" s="647"/>
      <c r="AH70" s="647"/>
      <c r="AI70" s="647"/>
      <c r="AJ70" s="647"/>
      <c r="AK70" s="647"/>
      <c r="AL70" s="647"/>
      <c r="AM70" s="647"/>
      <c r="AN70" s="647"/>
      <c r="AO70" s="647"/>
      <c r="AP70" s="647"/>
      <c r="AQ70" s="647"/>
      <c r="AR70" s="647"/>
      <c r="AS70" s="647"/>
      <c r="AT70" s="647"/>
      <c r="AU70" s="647"/>
      <c r="AV70" s="647"/>
      <c r="AW70" s="647"/>
      <c r="AX70" s="647"/>
      <c r="AY70" s="647"/>
      <c r="AZ70" s="647"/>
      <c r="BA70" s="647"/>
      <c r="BB70" s="647"/>
      <c r="BC70" s="647"/>
      <c r="BD70" s="647"/>
      <c r="BE70" s="647"/>
      <c r="BF70" s="647"/>
      <c r="BG70" s="647"/>
      <c r="BH70" s="647"/>
      <c r="BI70" s="647"/>
      <c r="BJ70" s="647"/>
      <c r="BK70" s="647"/>
      <c r="BL70" s="647"/>
      <c r="BM70" s="647"/>
      <c r="BN70" s="647"/>
      <c r="BO70" s="647"/>
      <c r="BP70" s="647"/>
      <c r="BQ70" s="647"/>
      <c r="BR70" s="647"/>
      <c r="BS70" s="647"/>
      <c r="BT70" s="647"/>
      <c r="BU70" s="647"/>
      <c r="BV70" s="647"/>
      <c r="BW70" s="647"/>
      <c r="BX70" s="647"/>
      <c r="BY70" s="647"/>
      <c r="BZ70" s="647"/>
      <c r="CA70" s="647"/>
      <c r="CB70" s="647"/>
      <c r="CC70" s="647"/>
      <c r="CD70" s="647"/>
      <c r="CE70" s="647"/>
      <c r="CF70" s="647"/>
      <c r="CG70" s="647"/>
      <c r="CH70" s="647"/>
      <c r="CI70" s="647"/>
      <c r="CJ70" s="647"/>
      <c r="CK70" s="647"/>
      <c r="CL70" s="647"/>
      <c r="CM70" s="647"/>
      <c r="CN70" s="647"/>
    </row>
    <row r="71" spans="1:92" ht="24">
      <c r="A71" s="647"/>
      <c r="B71" s="647"/>
      <c r="C71" s="652" t="s">
        <v>1248</v>
      </c>
      <c r="D71" s="653">
        <v>0</v>
      </c>
      <c r="E71" s="653">
        <v>0</v>
      </c>
      <c r="F71" s="647"/>
      <c r="G71" s="647"/>
      <c r="H71" s="647"/>
      <c r="I71" s="647"/>
      <c r="J71" s="647"/>
      <c r="K71" s="647"/>
      <c r="L71" s="647"/>
      <c r="M71" s="647"/>
      <c r="N71" s="647"/>
      <c r="O71" s="647"/>
      <c r="P71" s="647"/>
      <c r="Q71" s="647"/>
      <c r="R71" s="647"/>
      <c r="S71" s="647"/>
      <c r="T71" s="647"/>
      <c r="U71" s="647"/>
      <c r="V71" s="647"/>
      <c r="W71" s="647"/>
      <c r="X71" s="647"/>
      <c r="Y71" s="647"/>
      <c r="Z71" s="647"/>
      <c r="AA71" s="647"/>
      <c r="AB71" s="647"/>
      <c r="AC71" s="647"/>
      <c r="AD71" s="647"/>
      <c r="AE71" s="647"/>
      <c r="AF71" s="647"/>
      <c r="AG71" s="647"/>
      <c r="AH71" s="647"/>
      <c r="AI71" s="647"/>
      <c r="AJ71" s="647"/>
      <c r="AK71" s="647"/>
      <c r="AL71" s="647"/>
      <c r="AM71" s="647"/>
      <c r="AN71" s="647"/>
      <c r="AO71" s="647"/>
      <c r="AP71" s="647"/>
      <c r="AQ71" s="647"/>
      <c r="AR71" s="647"/>
      <c r="AS71" s="647"/>
      <c r="AT71" s="647"/>
      <c r="AU71" s="647"/>
      <c r="AV71" s="647"/>
      <c r="AW71" s="647"/>
      <c r="AX71" s="647"/>
      <c r="AY71" s="647"/>
      <c r="AZ71" s="647"/>
      <c r="BA71" s="647"/>
      <c r="BB71" s="647"/>
      <c r="BC71" s="647"/>
      <c r="BD71" s="647"/>
      <c r="BE71" s="647"/>
      <c r="BF71" s="647"/>
      <c r="BG71" s="647"/>
      <c r="BH71" s="647"/>
      <c r="BI71" s="647"/>
      <c r="BJ71" s="647"/>
      <c r="BK71" s="647"/>
      <c r="BL71" s="647"/>
      <c r="BM71" s="647"/>
      <c r="BN71" s="647"/>
      <c r="BO71" s="647"/>
      <c r="BP71" s="647"/>
      <c r="BQ71" s="647"/>
      <c r="BR71" s="647"/>
      <c r="BS71" s="647"/>
      <c r="BT71" s="647"/>
      <c r="BU71" s="647"/>
      <c r="BV71" s="647"/>
      <c r="BW71" s="647"/>
      <c r="BX71" s="647"/>
      <c r="BY71" s="647"/>
      <c r="BZ71" s="647"/>
      <c r="CA71" s="647"/>
      <c r="CB71" s="647"/>
      <c r="CC71" s="647"/>
      <c r="CD71" s="647"/>
      <c r="CE71" s="647"/>
      <c r="CF71" s="647"/>
      <c r="CG71" s="647"/>
      <c r="CH71" s="647"/>
      <c r="CI71" s="647"/>
      <c r="CJ71" s="647"/>
      <c r="CK71" s="647"/>
      <c r="CL71" s="647"/>
      <c r="CM71" s="647"/>
      <c r="CN71" s="647"/>
    </row>
    <row r="72" spans="1:92" ht="36">
      <c r="A72" s="647"/>
      <c r="B72" s="647"/>
      <c r="C72" s="652" t="s">
        <v>1249</v>
      </c>
      <c r="D72" s="653">
        <v>0</v>
      </c>
      <c r="E72" s="653">
        <v>1800000</v>
      </c>
      <c r="F72" s="647"/>
      <c r="G72" s="647"/>
      <c r="H72" s="647"/>
      <c r="I72" s="647"/>
      <c r="J72" s="647"/>
      <c r="K72" s="647"/>
      <c r="L72" s="647"/>
      <c r="M72" s="647"/>
      <c r="N72" s="647"/>
      <c r="O72" s="647"/>
      <c r="P72" s="647"/>
      <c r="Q72" s="647"/>
      <c r="R72" s="647"/>
      <c r="S72" s="647"/>
      <c r="T72" s="647"/>
      <c r="U72" s="647"/>
      <c r="V72" s="647"/>
      <c r="W72" s="647"/>
      <c r="X72" s="647"/>
      <c r="Y72" s="647"/>
      <c r="Z72" s="647"/>
      <c r="AA72" s="647"/>
      <c r="AB72" s="647"/>
      <c r="AC72" s="647"/>
      <c r="AD72" s="647"/>
      <c r="AE72" s="647"/>
      <c r="AF72" s="647"/>
      <c r="AG72" s="647"/>
      <c r="AH72" s="647"/>
      <c r="AI72" s="647"/>
      <c r="AJ72" s="647"/>
      <c r="AK72" s="647"/>
      <c r="AL72" s="647"/>
      <c r="AM72" s="647"/>
      <c r="AN72" s="647"/>
      <c r="AO72" s="647"/>
      <c r="AP72" s="647"/>
      <c r="AQ72" s="647"/>
      <c r="AR72" s="647"/>
      <c r="AS72" s="647"/>
      <c r="AT72" s="647"/>
      <c r="AU72" s="647"/>
      <c r="AV72" s="647"/>
      <c r="AW72" s="647"/>
      <c r="AX72" s="647"/>
      <c r="AY72" s="647"/>
      <c r="AZ72" s="647"/>
      <c r="BA72" s="647"/>
      <c r="BB72" s="647"/>
      <c r="BC72" s="647"/>
      <c r="BD72" s="647"/>
      <c r="BE72" s="647"/>
      <c r="BF72" s="647"/>
      <c r="BG72" s="647"/>
      <c r="BH72" s="647"/>
      <c r="BI72" s="647"/>
      <c r="BJ72" s="647"/>
      <c r="BK72" s="647"/>
      <c r="BL72" s="647"/>
      <c r="BM72" s="647"/>
      <c r="BN72" s="647"/>
      <c r="BO72" s="647"/>
      <c r="BP72" s="647"/>
      <c r="BQ72" s="647"/>
      <c r="BR72" s="647"/>
      <c r="BS72" s="647"/>
      <c r="BT72" s="647"/>
      <c r="BU72" s="647"/>
      <c r="BV72" s="647"/>
      <c r="BW72" s="647"/>
      <c r="BX72" s="647"/>
      <c r="BY72" s="647"/>
      <c r="BZ72" s="647"/>
      <c r="CA72" s="647"/>
      <c r="CB72" s="647"/>
      <c r="CC72" s="647"/>
      <c r="CD72" s="647"/>
      <c r="CE72" s="647"/>
      <c r="CF72" s="647"/>
      <c r="CG72" s="647"/>
      <c r="CH72" s="647"/>
      <c r="CI72" s="647"/>
      <c r="CJ72" s="647"/>
      <c r="CK72" s="647"/>
      <c r="CL72" s="647"/>
      <c r="CM72" s="647"/>
      <c r="CN72" s="647"/>
    </row>
    <row r="73" spans="1:92">
      <c r="A73" s="647"/>
      <c r="B73" s="647"/>
      <c r="C73" s="652" t="s">
        <v>1250</v>
      </c>
      <c r="D73" s="653">
        <v>0</v>
      </c>
      <c r="E73" s="653">
        <v>0</v>
      </c>
      <c r="F73" s="647"/>
      <c r="G73" s="647"/>
      <c r="H73" s="647"/>
      <c r="I73" s="647"/>
      <c r="J73" s="647"/>
      <c r="K73" s="647"/>
      <c r="L73" s="647"/>
      <c r="M73" s="647"/>
      <c r="N73" s="647"/>
      <c r="O73" s="647"/>
      <c r="P73" s="647"/>
      <c r="Q73" s="647"/>
      <c r="R73" s="647"/>
      <c r="S73" s="647"/>
      <c r="T73" s="647"/>
      <c r="U73" s="647"/>
      <c r="V73" s="647"/>
      <c r="W73" s="647"/>
      <c r="X73" s="647"/>
      <c r="Y73" s="647"/>
      <c r="Z73" s="647"/>
      <c r="AA73" s="647"/>
      <c r="AB73" s="647"/>
      <c r="AC73" s="647"/>
      <c r="AD73" s="647"/>
      <c r="AE73" s="647"/>
      <c r="AF73" s="647"/>
      <c r="AG73" s="647"/>
      <c r="AH73" s="647"/>
      <c r="AI73" s="647"/>
      <c r="AJ73" s="647"/>
      <c r="AK73" s="647"/>
      <c r="AL73" s="647"/>
      <c r="AM73" s="647"/>
      <c r="AN73" s="647"/>
      <c r="AO73" s="647"/>
      <c r="AP73" s="647"/>
      <c r="AQ73" s="647"/>
      <c r="AR73" s="647"/>
      <c r="AS73" s="647"/>
      <c r="AT73" s="647"/>
      <c r="AU73" s="647"/>
      <c r="AV73" s="647"/>
      <c r="AW73" s="647"/>
      <c r="AX73" s="647"/>
      <c r="AY73" s="647"/>
      <c r="AZ73" s="647"/>
      <c r="BA73" s="647"/>
      <c r="BB73" s="647"/>
      <c r="BC73" s="647"/>
      <c r="BD73" s="647"/>
      <c r="BE73" s="647"/>
      <c r="BF73" s="647"/>
      <c r="BG73" s="647"/>
      <c r="BH73" s="647"/>
      <c r="BI73" s="647"/>
      <c r="BJ73" s="647"/>
      <c r="BK73" s="647"/>
      <c r="BL73" s="647"/>
      <c r="BM73" s="647"/>
      <c r="BN73" s="647"/>
      <c r="BO73" s="647"/>
      <c r="BP73" s="647"/>
      <c r="BQ73" s="647"/>
      <c r="BR73" s="647"/>
      <c r="BS73" s="647"/>
      <c r="BT73" s="647"/>
      <c r="BU73" s="647"/>
      <c r="BV73" s="647"/>
      <c r="BW73" s="647"/>
      <c r="BX73" s="647"/>
      <c r="BY73" s="647"/>
      <c r="BZ73" s="647"/>
      <c r="CA73" s="647"/>
      <c r="CB73" s="647"/>
      <c r="CC73" s="647"/>
      <c r="CD73" s="647"/>
      <c r="CE73" s="647"/>
      <c r="CF73" s="647"/>
      <c r="CG73" s="647"/>
      <c r="CH73" s="647"/>
      <c r="CI73" s="647"/>
      <c r="CJ73" s="647"/>
      <c r="CK73" s="647"/>
      <c r="CL73" s="647"/>
      <c r="CM73" s="647"/>
      <c r="CN73" s="647"/>
    </row>
    <row r="74" spans="1:92">
      <c r="A74" s="647"/>
      <c r="B74" s="647"/>
      <c r="C74" s="654" t="s">
        <v>95</v>
      </c>
      <c r="D74" s="655">
        <v>48117182.130000003</v>
      </c>
      <c r="E74" s="655">
        <v>49917182.130000003</v>
      </c>
      <c r="F74" s="647"/>
      <c r="G74" s="647"/>
      <c r="H74" s="647"/>
      <c r="I74" s="647"/>
      <c r="J74" s="647"/>
      <c r="K74" s="647"/>
      <c r="L74" s="647"/>
      <c r="M74" s="647"/>
      <c r="N74" s="647"/>
      <c r="O74" s="647"/>
      <c r="P74" s="647"/>
      <c r="Q74" s="647"/>
      <c r="R74" s="647"/>
      <c r="S74" s="647"/>
      <c r="T74" s="647"/>
      <c r="U74" s="647"/>
      <c r="V74" s="647"/>
      <c r="W74" s="647"/>
      <c r="X74" s="647"/>
      <c r="Y74" s="647"/>
      <c r="Z74" s="647"/>
      <c r="AA74" s="647"/>
      <c r="AB74" s="647"/>
      <c r="AC74" s="647"/>
      <c r="AD74" s="647"/>
      <c r="AE74" s="647"/>
      <c r="AF74" s="647"/>
      <c r="AG74" s="647"/>
      <c r="AH74" s="647"/>
      <c r="AI74" s="647"/>
      <c r="AJ74" s="647"/>
      <c r="AK74" s="647"/>
      <c r="AL74" s="647"/>
      <c r="AM74" s="647"/>
      <c r="AN74" s="647"/>
      <c r="AO74" s="647"/>
      <c r="AP74" s="647"/>
      <c r="AQ74" s="647"/>
      <c r="AR74" s="647"/>
      <c r="AS74" s="647"/>
      <c r="AT74" s="647"/>
      <c r="AU74" s="647"/>
      <c r="AV74" s="647"/>
      <c r="AW74" s="647"/>
      <c r="AX74" s="647"/>
      <c r="AY74" s="647"/>
      <c r="AZ74" s="647"/>
      <c r="BA74" s="647"/>
      <c r="BB74" s="647"/>
      <c r="BC74" s="647"/>
      <c r="BD74" s="647"/>
      <c r="BE74" s="647"/>
      <c r="BF74" s="647"/>
      <c r="BG74" s="647"/>
      <c r="BH74" s="647"/>
      <c r="BI74" s="647"/>
      <c r="BJ74" s="647"/>
      <c r="BK74" s="647"/>
      <c r="BL74" s="647"/>
      <c r="BM74" s="647"/>
      <c r="BN74" s="647"/>
      <c r="BO74" s="647"/>
      <c r="BP74" s="647"/>
      <c r="BQ74" s="647"/>
      <c r="BR74" s="647"/>
      <c r="BS74" s="647"/>
      <c r="BT74" s="647"/>
      <c r="BU74" s="647"/>
      <c r="BV74" s="647"/>
      <c r="BW74" s="647"/>
      <c r="BX74" s="647"/>
      <c r="BY74" s="647"/>
      <c r="BZ74" s="647"/>
      <c r="CA74" s="647"/>
      <c r="CB74" s="647"/>
      <c r="CC74" s="647"/>
      <c r="CD74" s="647"/>
      <c r="CE74" s="647"/>
      <c r="CF74" s="647"/>
      <c r="CG74" s="647"/>
      <c r="CH74" s="647"/>
      <c r="CI74" s="647"/>
      <c r="CJ74" s="647"/>
      <c r="CK74" s="647"/>
      <c r="CL74" s="647"/>
      <c r="CM74" s="647"/>
      <c r="CN74" s="647"/>
    </row>
    <row r="75" spans="1:92">
      <c r="A75" s="647" t="s">
        <v>1007</v>
      </c>
      <c r="B75" s="647" t="s">
        <v>1007</v>
      </c>
      <c r="C75" s="647" t="s">
        <v>1007</v>
      </c>
      <c r="D75" s="647">
        <v>0</v>
      </c>
      <c r="F75" s="647"/>
      <c r="G75" s="647"/>
      <c r="H75" s="647"/>
      <c r="I75" s="647"/>
      <c r="J75" s="647"/>
      <c r="K75" s="647"/>
      <c r="L75" s="647"/>
      <c r="M75" s="647"/>
      <c r="N75" s="647"/>
      <c r="O75" s="647"/>
      <c r="P75" s="647"/>
      <c r="Q75" s="647"/>
      <c r="R75" s="647"/>
      <c r="S75" s="647"/>
      <c r="T75" s="647"/>
      <c r="U75" s="647"/>
      <c r="V75" s="647"/>
      <c r="W75" s="647"/>
      <c r="X75" s="647"/>
      <c r="Y75" s="647"/>
      <c r="Z75" s="647"/>
      <c r="AA75" s="647"/>
      <c r="AB75" s="647"/>
      <c r="AC75" s="647"/>
      <c r="AD75" s="647"/>
      <c r="AE75" s="647"/>
      <c r="AF75" s="647"/>
      <c r="AG75" s="647"/>
      <c r="AH75" s="647"/>
      <c r="AI75" s="647"/>
      <c r="AJ75" s="647"/>
      <c r="AK75" s="647"/>
      <c r="AL75" s="647"/>
      <c r="AM75" s="647"/>
      <c r="AN75" s="729"/>
      <c r="AO75" s="729"/>
      <c r="AP75" s="729"/>
      <c r="AQ75" s="729"/>
      <c r="AR75" s="729"/>
      <c r="AS75" s="729"/>
      <c r="AT75" s="729"/>
      <c r="AU75" s="729"/>
      <c r="AV75" s="729"/>
      <c r="AW75" s="729"/>
      <c r="AX75" s="729"/>
      <c r="AY75" s="729"/>
      <c r="AZ75" s="729"/>
      <c r="BA75" s="729"/>
      <c r="BB75" s="729"/>
      <c r="BC75" s="729"/>
      <c r="BD75" s="729"/>
      <c r="BE75" s="729"/>
      <c r="BF75" s="729"/>
      <c r="BG75" s="729"/>
      <c r="BH75" s="729"/>
      <c r="BI75" s="729"/>
      <c r="BJ75" s="729"/>
      <c r="BK75" s="729"/>
      <c r="BL75" s="729"/>
      <c r="BM75" s="729"/>
      <c r="BN75" s="729"/>
      <c r="BO75" s="729"/>
      <c r="BP75" s="729"/>
      <c r="BQ75" s="729"/>
      <c r="BR75" s="729"/>
      <c r="BS75" s="729"/>
      <c r="BT75" s="729"/>
      <c r="BU75" s="729"/>
      <c r="BV75" s="729"/>
      <c r="BW75" s="729"/>
      <c r="BX75" s="729"/>
      <c r="BY75" s="729"/>
      <c r="BZ75" s="729"/>
      <c r="CA75" s="729"/>
      <c r="CB75" s="729"/>
      <c r="CC75" s="729"/>
      <c r="CD75" s="729"/>
      <c r="CE75" s="729"/>
      <c r="CF75" s="729"/>
      <c r="CG75" s="729"/>
      <c r="CH75" s="729"/>
      <c r="CI75" s="729"/>
      <c r="CJ75" s="729"/>
      <c r="CK75" s="729"/>
      <c r="CL75" s="729"/>
      <c r="CM75" s="729"/>
      <c r="CN75" s="729"/>
    </row>
    <row r="76" spans="1:92">
      <c r="A76" s="647"/>
      <c r="B76" s="647"/>
      <c r="C76" s="647"/>
      <c r="D76" s="647"/>
      <c r="F76" s="647"/>
      <c r="G76" s="647"/>
      <c r="H76" s="647"/>
      <c r="I76" s="647"/>
      <c r="J76" s="647"/>
      <c r="K76" s="647"/>
      <c r="L76" s="647"/>
      <c r="M76" s="647"/>
      <c r="N76" s="647"/>
      <c r="O76" s="647"/>
      <c r="P76" s="647"/>
      <c r="Q76" s="647"/>
      <c r="R76" s="647"/>
      <c r="S76" s="647"/>
      <c r="T76" s="647"/>
      <c r="U76" s="647"/>
      <c r="V76" s="647"/>
      <c r="W76" s="647"/>
      <c r="X76" s="647"/>
      <c r="Y76" s="647"/>
      <c r="Z76" s="647"/>
      <c r="AA76" s="647"/>
      <c r="AB76" s="647"/>
      <c r="AC76" s="647"/>
      <c r="AD76" s="647"/>
      <c r="AE76" s="647"/>
      <c r="AF76" s="647"/>
      <c r="AG76" s="647"/>
      <c r="AH76" s="647"/>
      <c r="AI76" s="647"/>
      <c r="AJ76" s="647"/>
      <c r="AK76" s="647"/>
      <c r="AL76" s="647"/>
      <c r="AM76" s="647"/>
      <c r="AN76" s="647"/>
      <c r="AO76" s="647"/>
      <c r="AP76" s="647"/>
      <c r="AQ76" s="647"/>
      <c r="AR76" s="647"/>
      <c r="AS76" s="647"/>
      <c r="AT76" s="647"/>
      <c r="AU76" s="647"/>
      <c r="AV76" s="647"/>
      <c r="AW76" s="647"/>
      <c r="AX76" s="647"/>
      <c r="AY76" s="647"/>
      <c r="AZ76" s="647"/>
      <c r="BA76" s="647"/>
      <c r="BB76" s="647"/>
      <c r="BC76" s="647"/>
      <c r="BD76" s="647"/>
      <c r="BE76" s="647"/>
      <c r="BF76" s="647"/>
      <c r="BG76" s="647"/>
      <c r="BH76" s="647"/>
      <c r="BI76" s="647"/>
      <c r="BJ76" s="647"/>
      <c r="BK76" s="647"/>
      <c r="BL76" s="647"/>
      <c r="BM76" s="647"/>
      <c r="BN76" s="647"/>
      <c r="BO76" s="647"/>
      <c r="BP76" s="647"/>
      <c r="BQ76" s="647"/>
      <c r="BR76" s="647"/>
      <c r="BS76" s="647"/>
      <c r="BT76" s="647"/>
      <c r="BU76" s="647"/>
      <c r="BV76" s="647"/>
      <c r="BW76" s="647"/>
      <c r="BX76" s="647"/>
      <c r="BY76" s="647"/>
      <c r="BZ76" s="647"/>
      <c r="CA76" s="647"/>
      <c r="CB76" s="647"/>
      <c r="CC76" s="647"/>
      <c r="CD76" s="647"/>
      <c r="CE76" s="647"/>
      <c r="CF76" s="647"/>
      <c r="CG76" s="647"/>
      <c r="CH76" s="647"/>
      <c r="CI76" s="647"/>
      <c r="CJ76" s="647"/>
      <c r="CK76" s="647"/>
      <c r="CL76" s="647"/>
      <c r="CM76" s="647"/>
      <c r="CN76" s="647"/>
    </row>
    <row r="77" spans="1:92" ht="31.15" customHeight="1">
      <c r="B77" s="647"/>
      <c r="C77" s="651" t="s">
        <v>65</v>
      </c>
      <c r="D77" s="651" t="s">
        <v>1034</v>
      </c>
      <c r="E77" s="651" t="s">
        <v>377</v>
      </c>
      <c r="F77" s="651" t="s">
        <v>1268</v>
      </c>
      <c r="G77" s="651" t="s">
        <v>1035</v>
      </c>
      <c r="H77" s="651" t="s">
        <v>1036</v>
      </c>
      <c r="I77" s="651" t="s">
        <v>1037</v>
      </c>
      <c r="J77" s="651" t="s">
        <v>1038</v>
      </c>
      <c r="K77" s="651" t="s">
        <v>95</v>
      </c>
    </row>
    <row r="78" spans="1:92" ht="24">
      <c r="B78" s="647"/>
      <c r="C78" s="652" t="s">
        <v>1269</v>
      </c>
      <c r="D78" s="672">
        <v>0</v>
      </c>
      <c r="E78" s="672">
        <v>0</v>
      </c>
      <c r="F78" s="672">
        <v>0</v>
      </c>
      <c r="G78" s="672">
        <v>0</v>
      </c>
      <c r="H78" s="672">
        <v>0</v>
      </c>
      <c r="I78" s="672">
        <v>0</v>
      </c>
      <c r="J78" s="672">
        <v>0</v>
      </c>
      <c r="K78" s="672">
        <v>0</v>
      </c>
    </row>
    <row r="79" spans="1:92">
      <c r="B79" s="647"/>
      <c r="C79" s="652" t="s">
        <v>1270</v>
      </c>
      <c r="D79" s="672">
        <v>0</v>
      </c>
      <c r="E79" s="673">
        <v>99537000</v>
      </c>
      <c r="F79" s="672">
        <v>0</v>
      </c>
      <c r="G79" s="672">
        <v>0</v>
      </c>
      <c r="H79" s="672">
        <v>0</v>
      </c>
      <c r="I79" s="672">
        <v>0</v>
      </c>
      <c r="J79" s="672">
        <v>0</v>
      </c>
      <c r="K79" s="672">
        <v>99537000</v>
      </c>
    </row>
    <row r="80" spans="1:92">
      <c r="B80" s="647"/>
      <c r="C80" s="652" t="s">
        <v>1271</v>
      </c>
      <c r="D80" s="672">
        <v>0</v>
      </c>
      <c r="E80" s="672">
        <v>0</v>
      </c>
      <c r="F80" s="672">
        <v>0</v>
      </c>
      <c r="G80" s="672">
        <v>0</v>
      </c>
      <c r="H80" s="672">
        <v>0</v>
      </c>
      <c r="I80" s="672">
        <v>0</v>
      </c>
      <c r="J80" s="672">
        <v>0</v>
      </c>
      <c r="K80" s="672">
        <v>0</v>
      </c>
    </row>
    <row r="81" spans="2:11" ht="36">
      <c r="B81" s="647"/>
      <c r="C81" s="652" t="s">
        <v>1272</v>
      </c>
      <c r="D81" s="672">
        <v>0</v>
      </c>
      <c r="E81" s="672">
        <v>0</v>
      </c>
      <c r="F81" s="672">
        <v>0</v>
      </c>
      <c r="G81" s="672">
        <v>0</v>
      </c>
      <c r="H81" s="672">
        <v>0</v>
      </c>
      <c r="I81" s="672">
        <v>0</v>
      </c>
      <c r="J81" s="672">
        <v>0</v>
      </c>
      <c r="K81" s="672">
        <v>0</v>
      </c>
    </row>
    <row r="82" spans="2:11" ht="24">
      <c r="B82" s="647"/>
      <c r="C82" s="652" t="s">
        <v>1273</v>
      </c>
      <c r="D82" s="672">
        <v>0</v>
      </c>
      <c r="E82" s="672">
        <v>0</v>
      </c>
      <c r="F82" s="672">
        <v>0</v>
      </c>
      <c r="G82" s="672">
        <v>0</v>
      </c>
      <c r="H82" s="672">
        <v>0</v>
      </c>
      <c r="I82" s="672">
        <v>0</v>
      </c>
      <c r="J82" s="672">
        <v>0</v>
      </c>
      <c r="K82" s="672">
        <v>0</v>
      </c>
    </row>
    <row r="83" spans="2:11" ht="36">
      <c r="B83" s="647"/>
      <c r="C83" s="652" t="s">
        <v>1274</v>
      </c>
      <c r="D83" s="672">
        <v>0</v>
      </c>
      <c r="E83" s="672">
        <v>0</v>
      </c>
      <c r="F83" s="672">
        <v>0</v>
      </c>
      <c r="G83" s="672">
        <v>0</v>
      </c>
      <c r="H83" s="672">
        <v>0</v>
      </c>
      <c r="I83" s="672">
        <v>0</v>
      </c>
      <c r="J83" s="672">
        <v>0</v>
      </c>
      <c r="K83" s="672">
        <v>0</v>
      </c>
    </row>
    <row r="84" spans="2:11" ht="24">
      <c r="B84" s="647"/>
      <c r="C84" s="652" t="s">
        <v>1275</v>
      </c>
      <c r="D84" s="672">
        <v>0</v>
      </c>
      <c r="E84" s="672">
        <v>0</v>
      </c>
      <c r="F84" s="672">
        <v>0</v>
      </c>
      <c r="G84" s="672">
        <v>0</v>
      </c>
      <c r="H84" s="672">
        <v>0</v>
      </c>
      <c r="I84" s="672">
        <v>0</v>
      </c>
      <c r="J84" s="672">
        <v>0</v>
      </c>
      <c r="K84" s="672">
        <v>0</v>
      </c>
    </row>
    <row r="85" spans="2:11">
      <c r="B85" s="647"/>
      <c r="C85" s="652" t="s">
        <v>1276</v>
      </c>
      <c r="D85" s="672">
        <v>0</v>
      </c>
      <c r="E85" s="672">
        <v>0</v>
      </c>
      <c r="F85" s="672">
        <v>0</v>
      </c>
      <c r="G85" s="672">
        <v>0</v>
      </c>
      <c r="H85" s="672">
        <v>0</v>
      </c>
      <c r="I85" s="672">
        <v>0</v>
      </c>
      <c r="J85" s="672">
        <v>0</v>
      </c>
      <c r="K85" s="672">
        <v>0</v>
      </c>
    </row>
    <row r="86" spans="2:11" ht="24">
      <c r="B86" s="647"/>
      <c r="C86" s="652" t="s">
        <v>1277</v>
      </c>
      <c r="D86" s="672">
        <v>0</v>
      </c>
      <c r="E86" s="672">
        <v>0</v>
      </c>
      <c r="F86" s="672">
        <v>0</v>
      </c>
      <c r="G86" s="672">
        <v>0</v>
      </c>
      <c r="H86" s="672">
        <v>0</v>
      </c>
      <c r="I86" s="672">
        <v>0</v>
      </c>
      <c r="J86" s="672">
        <v>0</v>
      </c>
      <c r="K86" s="672">
        <v>0</v>
      </c>
    </row>
    <row r="87" spans="2:11">
      <c r="B87" s="647"/>
      <c r="C87" s="652" t="s">
        <v>1330</v>
      </c>
      <c r="D87" s="672">
        <v>0</v>
      </c>
      <c r="E87" s="672">
        <v>0</v>
      </c>
      <c r="F87" s="672">
        <v>0</v>
      </c>
      <c r="G87" s="672">
        <v>0</v>
      </c>
      <c r="H87" s="672">
        <v>0</v>
      </c>
      <c r="I87" s="672">
        <v>0</v>
      </c>
      <c r="J87" s="672">
        <v>0</v>
      </c>
      <c r="K87" s="672">
        <v>0</v>
      </c>
    </row>
    <row r="88" spans="2:11">
      <c r="B88" s="647"/>
      <c r="C88" s="652" t="s">
        <v>1278</v>
      </c>
      <c r="D88" s="672">
        <v>0</v>
      </c>
      <c r="E88" s="672">
        <v>0</v>
      </c>
      <c r="F88" s="672">
        <v>0</v>
      </c>
      <c r="G88" s="672">
        <v>0</v>
      </c>
      <c r="H88" s="672">
        <v>0</v>
      </c>
      <c r="I88" s="672">
        <v>0</v>
      </c>
      <c r="J88" s="672">
        <v>0</v>
      </c>
      <c r="K88" s="672">
        <v>0</v>
      </c>
    </row>
    <row r="89" spans="2:11" ht="24">
      <c r="B89" s="647"/>
      <c r="C89" s="652" t="s">
        <v>1279</v>
      </c>
      <c r="D89" s="672">
        <v>0</v>
      </c>
      <c r="E89" s="672">
        <v>0</v>
      </c>
      <c r="F89" s="672">
        <v>0</v>
      </c>
      <c r="G89" s="672">
        <v>0</v>
      </c>
      <c r="H89" s="672">
        <v>0</v>
      </c>
      <c r="I89" s="672">
        <v>0</v>
      </c>
      <c r="J89" s="672">
        <v>0</v>
      </c>
      <c r="K89" s="672">
        <v>0</v>
      </c>
    </row>
    <row r="90" spans="2:11">
      <c r="B90" s="647"/>
      <c r="C90" s="652" t="s">
        <v>1280</v>
      </c>
      <c r="D90" s="672">
        <v>0</v>
      </c>
      <c r="E90" s="672">
        <v>0</v>
      </c>
      <c r="F90" s="672">
        <v>0</v>
      </c>
      <c r="G90" s="672">
        <v>0</v>
      </c>
      <c r="H90" s="672">
        <v>0</v>
      </c>
      <c r="I90" s="672">
        <v>0</v>
      </c>
      <c r="J90" s="672">
        <v>0</v>
      </c>
      <c r="K90" s="672">
        <v>0</v>
      </c>
    </row>
    <row r="91" spans="2:11">
      <c r="B91" s="647"/>
      <c r="C91" s="652" t="s">
        <v>1281</v>
      </c>
      <c r="D91" s="672">
        <v>0</v>
      </c>
      <c r="E91" s="672">
        <v>0</v>
      </c>
      <c r="F91" s="672">
        <v>0</v>
      </c>
      <c r="G91" s="672">
        <v>0</v>
      </c>
      <c r="H91" s="672">
        <v>0</v>
      </c>
      <c r="I91" s="672">
        <v>0</v>
      </c>
      <c r="J91" s="672">
        <v>0</v>
      </c>
      <c r="K91" s="672">
        <v>0</v>
      </c>
    </row>
    <row r="92" spans="2:11" ht="24">
      <c r="B92" s="647"/>
      <c r="C92" s="652" t="s">
        <v>1282</v>
      </c>
      <c r="D92" s="672">
        <v>0</v>
      </c>
      <c r="E92" s="672">
        <v>0</v>
      </c>
      <c r="F92" s="672">
        <v>0</v>
      </c>
      <c r="G92" s="672">
        <v>0</v>
      </c>
      <c r="H92" s="672">
        <v>0</v>
      </c>
      <c r="I92" s="672">
        <v>0</v>
      </c>
      <c r="J92" s="672">
        <v>0</v>
      </c>
      <c r="K92" s="672">
        <v>0</v>
      </c>
    </row>
    <row r="93" spans="2:11" ht="36">
      <c r="B93" s="647"/>
      <c r="C93" s="652" t="s">
        <v>1332</v>
      </c>
      <c r="D93" s="672">
        <v>0</v>
      </c>
      <c r="E93" s="672">
        <v>0</v>
      </c>
      <c r="F93" s="672">
        <v>0</v>
      </c>
      <c r="G93" s="672">
        <v>0</v>
      </c>
      <c r="H93" s="672">
        <v>0</v>
      </c>
      <c r="I93" s="672">
        <v>0</v>
      </c>
      <c r="J93" s="672">
        <v>0</v>
      </c>
      <c r="K93" s="672">
        <v>0</v>
      </c>
    </row>
    <row r="94" spans="2:11">
      <c r="B94" s="647"/>
      <c r="C94" s="652" t="s">
        <v>1283</v>
      </c>
      <c r="D94" s="672">
        <v>0</v>
      </c>
      <c r="E94" s="672">
        <v>99537000</v>
      </c>
      <c r="F94" s="672">
        <v>0</v>
      </c>
      <c r="G94" s="672">
        <v>0</v>
      </c>
      <c r="H94" s="672">
        <v>0</v>
      </c>
      <c r="I94" s="672">
        <v>0</v>
      </c>
      <c r="J94" s="672">
        <v>0</v>
      </c>
      <c r="K94" s="672">
        <v>99537000</v>
      </c>
    </row>
    <row r="95" spans="2:11" ht="36">
      <c r="B95" s="647"/>
      <c r="C95" s="652" t="s">
        <v>1284</v>
      </c>
      <c r="D95" s="672">
        <v>0</v>
      </c>
      <c r="E95" s="672">
        <v>0</v>
      </c>
      <c r="F95" s="672">
        <v>0</v>
      </c>
      <c r="G95" s="672">
        <v>0</v>
      </c>
      <c r="H95" s="672">
        <v>0</v>
      </c>
      <c r="I95" s="672">
        <v>0</v>
      </c>
      <c r="J95" s="672">
        <v>0</v>
      </c>
      <c r="K95" s="672">
        <v>0</v>
      </c>
    </row>
    <row r="96" spans="2:11">
      <c r="B96" s="647"/>
      <c r="C96" s="652" t="s">
        <v>1285</v>
      </c>
      <c r="D96" s="672">
        <v>0</v>
      </c>
      <c r="E96" s="672">
        <v>0</v>
      </c>
      <c r="F96" s="672">
        <v>0</v>
      </c>
      <c r="G96" s="672">
        <v>0</v>
      </c>
      <c r="H96" s="672">
        <v>0</v>
      </c>
      <c r="I96" s="672">
        <v>0</v>
      </c>
      <c r="J96" s="672">
        <v>0</v>
      </c>
      <c r="K96" s="672">
        <v>0</v>
      </c>
    </row>
    <row r="97" spans="1:92">
      <c r="B97" s="647"/>
      <c r="C97" s="652" t="s">
        <v>1286</v>
      </c>
      <c r="D97" s="672">
        <v>0</v>
      </c>
      <c r="E97" s="672">
        <v>0</v>
      </c>
      <c r="F97" s="672">
        <v>0</v>
      </c>
      <c r="G97" s="672">
        <v>0</v>
      </c>
      <c r="H97" s="672">
        <v>0</v>
      </c>
      <c r="I97" s="672">
        <v>0</v>
      </c>
      <c r="J97" s="672">
        <v>0</v>
      </c>
      <c r="K97" s="672">
        <v>0</v>
      </c>
    </row>
    <row r="98" spans="1:92" ht="24">
      <c r="B98" s="647"/>
      <c r="C98" s="652" t="s">
        <v>1287</v>
      </c>
      <c r="D98" s="672">
        <v>0</v>
      </c>
      <c r="E98" s="672">
        <v>0</v>
      </c>
      <c r="F98" s="672">
        <v>0</v>
      </c>
      <c r="G98" s="672">
        <v>0</v>
      </c>
      <c r="H98" s="672">
        <v>0</v>
      </c>
      <c r="I98" s="672">
        <v>0</v>
      </c>
      <c r="J98" s="672">
        <v>0</v>
      </c>
      <c r="K98" s="672">
        <v>0</v>
      </c>
    </row>
    <row r="99" spans="1:92" ht="24">
      <c r="B99" s="647"/>
      <c r="C99" s="652" t="s">
        <v>1288</v>
      </c>
      <c r="D99" s="672">
        <v>0</v>
      </c>
      <c r="E99" s="672">
        <v>0</v>
      </c>
      <c r="F99" s="672">
        <v>0</v>
      </c>
      <c r="G99" s="672">
        <v>0</v>
      </c>
      <c r="H99" s="672">
        <v>0</v>
      </c>
      <c r="I99" s="672">
        <v>0</v>
      </c>
      <c r="J99" s="672">
        <v>0</v>
      </c>
      <c r="K99" s="672">
        <v>0</v>
      </c>
    </row>
    <row r="100" spans="1:92" ht="24">
      <c r="B100" s="647"/>
      <c r="C100" s="652" t="s">
        <v>1289</v>
      </c>
      <c r="D100" s="672">
        <v>0</v>
      </c>
      <c r="E100" s="672">
        <v>0</v>
      </c>
      <c r="F100" s="672">
        <v>0</v>
      </c>
      <c r="G100" s="672">
        <v>0</v>
      </c>
      <c r="H100" s="672">
        <v>0</v>
      </c>
      <c r="I100" s="672">
        <v>0</v>
      </c>
      <c r="J100" s="672">
        <v>0</v>
      </c>
      <c r="K100" s="672">
        <v>0</v>
      </c>
    </row>
    <row r="101" spans="1:92">
      <c r="B101" s="647"/>
      <c r="C101" s="652" t="s">
        <v>1290</v>
      </c>
      <c r="D101" s="672">
        <v>0</v>
      </c>
      <c r="E101" s="672">
        <v>0</v>
      </c>
      <c r="F101" s="672">
        <v>0</v>
      </c>
      <c r="G101" s="672">
        <v>0</v>
      </c>
      <c r="H101" s="672">
        <v>0</v>
      </c>
      <c r="I101" s="672">
        <v>0</v>
      </c>
      <c r="J101" s="672">
        <v>0</v>
      </c>
      <c r="K101" s="672">
        <v>0</v>
      </c>
    </row>
    <row r="102" spans="1:92" ht="24">
      <c r="B102" s="647"/>
      <c r="C102" s="652" t="s">
        <v>1291</v>
      </c>
      <c r="D102" s="672">
        <v>0</v>
      </c>
      <c r="E102" s="672">
        <v>0</v>
      </c>
      <c r="F102" s="672">
        <v>0</v>
      </c>
      <c r="G102" s="672">
        <v>0</v>
      </c>
      <c r="H102" s="672">
        <v>0</v>
      </c>
      <c r="I102" s="672">
        <v>0</v>
      </c>
      <c r="J102" s="672">
        <v>0</v>
      </c>
      <c r="K102" s="672">
        <v>0</v>
      </c>
    </row>
    <row r="103" spans="1:92" ht="24">
      <c r="B103" s="647"/>
      <c r="C103" s="652" t="s">
        <v>1292</v>
      </c>
      <c r="D103" s="672">
        <v>0</v>
      </c>
      <c r="E103" s="672">
        <v>0</v>
      </c>
      <c r="F103" s="672">
        <v>0</v>
      </c>
      <c r="G103" s="672">
        <v>0</v>
      </c>
      <c r="H103" s="672">
        <v>0</v>
      </c>
      <c r="I103" s="672">
        <v>0</v>
      </c>
      <c r="J103" s="672">
        <v>0</v>
      </c>
      <c r="K103" s="672">
        <v>0</v>
      </c>
    </row>
    <row r="104" spans="1:92" ht="24">
      <c r="B104" s="647"/>
      <c r="C104" s="652" t="s">
        <v>1293</v>
      </c>
      <c r="D104" s="672">
        <v>0</v>
      </c>
      <c r="E104" s="672">
        <v>0</v>
      </c>
      <c r="F104" s="672">
        <v>0</v>
      </c>
      <c r="G104" s="672">
        <v>0</v>
      </c>
      <c r="H104" s="672">
        <v>0</v>
      </c>
      <c r="I104" s="672">
        <v>0</v>
      </c>
      <c r="J104" s="672">
        <v>0</v>
      </c>
      <c r="K104" s="672">
        <v>0</v>
      </c>
    </row>
    <row r="105" spans="1:92">
      <c r="B105" s="647"/>
      <c r="C105" s="652" t="s">
        <v>1294</v>
      </c>
      <c r="D105" s="672">
        <v>0</v>
      </c>
      <c r="E105" s="672">
        <v>0</v>
      </c>
      <c r="F105" s="672">
        <v>0</v>
      </c>
      <c r="G105" s="672">
        <v>0</v>
      </c>
      <c r="H105" s="672">
        <v>0</v>
      </c>
      <c r="I105" s="672">
        <v>0</v>
      </c>
      <c r="J105" s="672">
        <v>0</v>
      </c>
      <c r="K105" s="672">
        <v>0</v>
      </c>
    </row>
    <row r="106" spans="1:92" ht="24">
      <c r="B106" s="647"/>
      <c r="C106" s="652" t="s">
        <v>1295</v>
      </c>
      <c r="D106" s="672">
        <v>0</v>
      </c>
      <c r="E106" s="672">
        <v>0</v>
      </c>
      <c r="F106" s="672">
        <v>0</v>
      </c>
      <c r="G106" s="672">
        <v>0</v>
      </c>
      <c r="H106" s="672">
        <v>0</v>
      </c>
      <c r="I106" s="672">
        <v>0</v>
      </c>
      <c r="J106" s="672">
        <v>0</v>
      </c>
      <c r="K106" s="672">
        <v>0</v>
      </c>
    </row>
    <row r="107" spans="1:92">
      <c r="A107" s="647"/>
      <c r="B107" s="647"/>
      <c r="C107" s="652" t="s">
        <v>1296</v>
      </c>
      <c r="D107" s="672">
        <v>0</v>
      </c>
      <c r="E107" s="672">
        <v>99537000</v>
      </c>
      <c r="F107" s="672">
        <v>0</v>
      </c>
      <c r="G107" s="672">
        <v>0</v>
      </c>
      <c r="H107" s="672">
        <v>0</v>
      </c>
      <c r="I107" s="672">
        <v>0</v>
      </c>
      <c r="J107" s="672">
        <v>0</v>
      </c>
      <c r="K107" s="672">
        <v>99537000</v>
      </c>
      <c r="L107" s="647"/>
      <c r="M107" s="647"/>
      <c r="N107" s="647"/>
      <c r="O107" s="647"/>
      <c r="P107" s="647"/>
      <c r="Q107" s="647"/>
      <c r="R107" s="647"/>
      <c r="S107" s="647"/>
      <c r="T107" s="647"/>
      <c r="U107" s="647"/>
      <c r="V107" s="647"/>
      <c r="W107" s="647"/>
      <c r="X107" s="647"/>
      <c r="Y107" s="647"/>
      <c r="Z107" s="647"/>
      <c r="AA107" s="647"/>
      <c r="AB107" s="647"/>
      <c r="AC107" s="647"/>
      <c r="AD107" s="647"/>
      <c r="AE107" s="647"/>
      <c r="AF107" s="647"/>
      <c r="AG107" s="647"/>
      <c r="AH107" s="647"/>
      <c r="AI107" s="647"/>
      <c r="AJ107" s="647"/>
      <c r="AK107" s="647"/>
      <c r="AL107" s="647"/>
      <c r="AM107" s="647"/>
      <c r="AN107" s="647"/>
      <c r="AO107" s="647"/>
      <c r="AP107" s="647"/>
      <c r="AQ107" s="647"/>
      <c r="AR107" s="647"/>
      <c r="AS107" s="647"/>
      <c r="AT107" s="647"/>
      <c r="AU107" s="647"/>
      <c r="AV107" s="647"/>
      <c r="AW107" s="647"/>
      <c r="AX107" s="647"/>
      <c r="AY107" s="647"/>
      <c r="AZ107" s="647"/>
      <c r="BA107" s="647"/>
      <c r="BB107" s="647"/>
      <c r="BC107" s="647"/>
      <c r="BD107" s="647"/>
      <c r="BE107" s="647"/>
      <c r="BF107" s="647"/>
      <c r="BG107" s="647"/>
      <c r="BH107" s="647"/>
      <c r="BI107" s="647"/>
      <c r="BJ107" s="647"/>
      <c r="BK107" s="647"/>
      <c r="BL107" s="647"/>
      <c r="BM107" s="647"/>
      <c r="BN107" s="647"/>
      <c r="BO107" s="647"/>
      <c r="BP107" s="647"/>
      <c r="BQ107" s="647"/>
      <c r="BR107" s="647"/>
      <c r="BS107" s="647"/>
      <c r="BT107" s="647"/>
      <c r="BU107" s="647"/>
      <c r="BV107" s="647"/>
      <c r="BW107" s="647"/>
      <c r="BX107" s="647"/>
      <c r="BY107" s="647"/>
      <c r="BZ107" s="647"/>
      <c r="CA107" s="647"/>
      <c r="CB107" s="647"/>
      <c r="CC107" s="647"/>
      <c r="CD107" s="647"/>
      <c r="CE107" s="647"/>
      <c r="CF107" s="647"/>
      <c r="CG107" s="647"/>
      <c r="CH107" s="647"/>
      <c r="CI107" s="647"/>
      <c r="CJ107" s="647"/>
      <c r="CK107" s="647"/>
      <c r="CL107" s="647"/>
      <c r="CM107" s="647"/>
      <c r="CN107" s="647"/>
    </row>
    <row r="108" spans="1:92">
      <c r="A108" s="647" t="s">
        <v>1007</v>
      </c>
      <c r="B108" s="647"/>
      <c r="C108" s="652" t="s">
        <v>1297</v>
      </c>
      <c r="D108" s="672">
        <v>0</v>
      </c>
      <c r="E108" s="672">
        <v>99537000</v>
      </c>
      <c r="F108" s="672">
        <v>0</v>
      </c>
      <c r="G108" s="672">
        <v>0</v>
      </c>
      <c r="H108" s="672">
        <v>0</v>
      </c>
      <c r="I108" s="672">
        <v>0</v>
      </c>
      <c r="J108" s="672">
        <v>0</v>
      </c>
      <c r="K108" s="672">
        <v>99537000</v>
      </c>
      <c r="L108" s="647"/>
      <c r="M108" s="647"/>
      <c r="N108" s="647"/>
      <c r="O108" s="647"/>
      <c r="P108" s="647"/>
      <c r="Q108" s="647"/>
      <c r="R108" s="647"/>
      <c r="S108" s="647"/>
      <c r="T108" s="647"/>
      <c r="U108" s="647"/>
      <c r="V108" s="647"/>
      <c r="W108" s="647"/>
      <c r="X108" s="647"/>
      <c r="Y108" s="647"/>
      <c r="Z108" s="647"/>
      <c r="AA108" s="647"/>
      <c r="AB108" s="647"/>
      <c r="AC108" s="647"/>
      <c r="AD108" s="647"/>
      <c r="AE108" s="647"/>
      <c r="AF108" s="647"/>
      <c r="AG108" s="647"/>
      <c r="AH108" s="647"/>
      <c r="AI108" s="647"/>
      <c r="AJ108" s="647"/>
      <c r="AK108" s="647"/>
      <c r="AL108" s="647"/>
      <c r="AM108" s="647"/>
      <c r="AN108" s="729"/>
      <c r="AO108" s="729"/>
      <c r="AP108" s="729"/>
      <c r="AQ108" s="729"/>
      <c r="AR108" s="729"/>
      <c r="AS108" s="729"/>
      <c r="AT108" s="729"/>
      <c r="AU108" s="729"/>
      <c r="AV108" s="729"/>
      <c r="AW108" s="729"/>
      <c r="AX108" s="729"/>
      <c r="AY108" s="729"/>
      <c r="AZ108" s="729"/>
      <c r="BA108" s="729"/>
      <c r="BB108" s="729"/>
      <c r="BC108" s="729"/>
      <c r="BD108" s="729"/>
      <c r="BE108" s="729"/>
      <c r="BF108" s="729"/>
      <c r="BG108" s="729"/>
      <c r="BH108" s="729"/>
      <c r="BI108" s="729"/>
      <c r="BJ108" s="729"/>
      <c r="BK108" s="729"/>
      <c r="BL108" s="729"/>
      <c r="BM108" s="729"/>
      <c r="BN108" s="729"/>
      <c r="BO108" s="729"/>
      <c r="BP108" s="729"/>
      <c r="BQ108" s="729"/>
      <c r="BR108" s="729"/>
      <c r="BS108" s="729"/>
      <c r="BT108" s="729"/>
      <c r="BU108" s="729"/>
      <c r="BV108" s="729"/>
      <c r="BW108" s="729"/>
      <c r="BX108" s="729"/>
      <c r="BY108" s="729"/>
      <c r="BZ108" s="729"/>
      <c r="CA108" s="729"/>
      <c r="CB108" s="729"/>
      <c r="CC108" s="729"/>
      <c r="CD108" s="729"/>
      <c r="CE108" s="729"/>
      <c r="CF108" s="729"/>
      <c r="CG108" s="729"/>
      <c r="CH108" s="729"/>
      <c r="CI108" s="729"/>
      <c r="CJ108" s="729"/>
      <c r="CK108" s="729"/>
      <c r="CL108" s="729"/>
      <c r="CM108" s="729"/>
      <c r="CN108" s="729"/>
    </row>
    <row r="109" spans="1:92">
      <c r="A109" s="647" t="s">
        <v>1007</v>
      </c>
      <c r="B109" s="647"/>
      <c r="C109" s="647" t="s">
        <v>1007</v>
      </c>
      <c r="D109" s="647" t="s">
        <v>1007</v>
      </c>
      <c r="F109" s="647"/>
      <c r="G109" s="647"/>
      <c r="H109" s="647"/>
      <c r="I109" s="647"/>
      <c r="J109" s="647"/>
      <c r="K109" s="647"/>
      <c r="L109" s="647"/>
      <c r="M109" s="647"/>
      <c r="N109" s="647"/>
      <c r="O109" s="647"/>
      <c r="P109" s="647"/>
      <c r="Q109" s="647"/>
      <c r="R109" s="647"/>
      <c r="S109" s="647"/>
      <c r="T109" s="647"/>
      <c r="U109" s="647"/>
      <c r="V109" s="647"/>
      <c r="W109" s="647"/>
      <c r="X109" s="647"/>
      <c r="Y109" s="647"/>
      <c r="Z109" s="647"/>
      <c r="AA109" s="647"/>
      <c r="AB109" s="647"/>
      <c r="AC109" s="647"/>
      <c r="AD109" s="647"/>
      <c r="AE109" s="647"/>
      <c r="AF109" s="647"/>
      <c r="AG109" s="647"/>
      <c r="AH109" s="647"/>
      <c r="AI109" s="647"/>
      <c r="AJ109" s="647"/>
      <c r="AK109" s="647"/>
      <c r="AL109" s="647"/>
      <c r="AM109" s="647"/>
      <c r="AN109" s="729"/>
      <c r="AO109" s="729"/>
      <c r="AP109" s="729"/>
      <c r="AQ109" s="729"/>
      <c r="AR109" s="729"/>
      <c r="AS109" s="729"/>
      <c r="AT109" s="729"/>
      <c r="AU109" s="729"/>
      <c r="AV109" s="729"/>
      <c r="AW109" s="729"/>
      <c r="AX109" s="729"/>
      <c r="AY109" s="729"/>
      <c r="AZ109" s="729"/>
      <c r="BA109" s="729"/>
      <c r="BB109" s="729"/>
      <c r="BC109" s="729"/>
      <c r="BD109" s="729"/>
      <c r="BE109" s="729"/>
      <c r="BF109" s="729"/>
      <c r="BG109" s="729"/>
      <c r="BH109" s="729"/>
      <c r="BI109" s="729"/>
      <c r="BJ109" s="729"/>
      <c r="BK109" s="729"/>
      <c r="BL109" s="729"/>
      <c r="BM109" s="729"/>
      <c r="BN109" s="729"/>
      <c r="BO109" s="729"/>
      <c r="BP109" s="729"/>
      <c r="BQ109" s="729"/>
      <c r="BR109" s="729"/>
      <c r="BS109" s="729"/>
      <c r="BT109" s="729"/>
      <c r="BU109" s="729"/>
      <c r="BV109" s="729"/>
      <c r="BW109" s="729"/>
      <c r="BX109" s="729"/>
      <c r="BY109" s="729"/>
      <c r="BZ109" s="729"/>
      <c r="CA109" s="729"/>
      <c r="CB109" s="729"/>
      <c r="CC109" s="729"/>
      <c r="CD109" s="729"/>
      <c r="CE109" s="729"/>
      <c r="CF109" s="729"/>
      <c r="CG109" s="729"/>
      <c r="CH109" s="729"/>
      <c r="CI109" s="729"/>
      <c r="CJ109" s="729"/>
      <c r="CK109" s="729"/>
      <c r="CL109" s="729"/>
      <c r="CM109" s="729"/>
      <c r="CN109" s="729"/>
    </row>
    <row r="110" spans="1:92">
      <c r="A110" s="646" t="s">
        <v>1001</v>
      </c>
      <c r="B110" s="647"/>
      <c r="C110" s="647"/>
      <c r="D110" s="647"/>
      <c r="F110" s="647"/>
      <c r="G110" s="647"/>
      <c r="H110" s="647"/>
      <c r="I110" s="647"/>
      <c r="J110" s="647"/>
      <c r="K110" s="647"/>
    </row>
    <row r="111" spans="1:92">
      <c r="A111" s="647"/>
      <c r="B111" s="647"/>
      <c r="C111" s="647"/>
      <c r="D111" s="647"/>
      <c r="F111" s="647"/>
      <c r="G111" s="647"/>
      <c r="H111" s="647"/>
      <c r="I111" s="647"/>
      <c r="J111" s="647"/>
      <c r="K111" s="647"/>
    </row>
    <row r="112" spans="1:92" ht="60">
      <c r="A112" s="647"/>
      <c r="B112" s="647"/>
      <c r="C112" s="674" t="s">
        <v>65</v>
      </c>
      <c r="D112" s="674" t="s">
        <v>1053</v>
      </c>
      <c r="E112" s="674" t="s">
        <v>1054</v>
      </c>
      <c r="F112" s="674" t="s">
        <v>1227</v>
      </c>
      <c r="G112" s="674" t="s">
        <v>1055</v>
      </c>
      <c r="H112" s="674" t="s">
        <v>1056</v>
      </c>
      <c r="I112" s="674" t="s">
        <v>1057</v>
      </c>
      <c r="J112" s="674" t="s">
        <v>1058</v>
      </c>
      <c r="K112" s="674" t="s">
        <v>1298</v>
      </c>
      <c r="L112" s="674" t="s">
        <v>381</v>
      </c>
      <c r="M112" s="674" t="s">
        <v>95</v>
      </c>
    </row>
    <row r="113" spans="1:13" ht="24">
      <c r="A113" s="647"/>
      <c r="B113" s="647"/>
      <c r="C113" s="652" t="s">
        <v>1299</v>
      </c>
      <c r="D113" s="675">
        <v>0</v>
      </c>
      <c r="E113" s="675">
        <v>0</v>
      </c>
      <c r="F113" s="675">
        <v>0</v>
      </c>
      <c r="G113" s="675">
        <v>0</v>
      </c>
      <c r="H113" s="675">
        <v>0</v>
      </c>
      <c r="I113" s="675">
        <v>0</v>
      </c>
      <c r="J113" s="675">
        <v>0</v>
      </c>
      <c r="K113" s="675">
        <v>0</v>
      </c>
      <c r="L113" s="675">
        <v>0</v>
      </c>
      <c r="M113" s="675">
        <v>0</v>
      </c>
    </row>
    <row r="114" spans="1:13">
      <c r="A114" s="647"/>
      <c r="B114" s="647"/>
      <c r="C114" s="652" t="s">
        <v>1270</v>
      </c>
      <c r="D114" s="675">
        <v>0</v>
      </c>
      <c r="E114" s="675">
        <v>159800</v>
      </c>
      <c r="F114" s="675">
        <v>0</v>
      </c>
      <c r="G114" s="675">
        <v>0</v>
      </c>
      <c r="H114" s="675">
        <v>0</v>
      </c>
      <c r="I114" s="675">
        <v>0</v>
      </c>
      <c r="J114" s="675">
        <v>0</v>
      </c>
      <c r="K114" s="675">
        <v>0</v>
      </c>
      <c r="L114" s="675">
        <v>31049700</v>
      </c>
      <c r="M114" s="675">
        <v>31209500</v>
      </c>
    </row>
    <row r="115" spans="1:13">
      <c r="A115" s="647"/>
      <c r="B115" s="647"/>
      <c r="C115" s="652" t="s">
        <v>1271</v>
      </c>
      <c r="D115" s="675">
        <v>0</v>
      </c>
      <c r="E115" s="675">
        <v>0</v>
      </c>
      <c r="F115" s="675">
        <v>0</v>
      </c>
      <c r="G115" s="675">
        <v>0</v>
      </c>
      <c r="H115" s="675">
        <v>0</v>
      </c>
      <c r="I115" s="675">
        <v>0</v>
      </c>
      <c r="J115" s="675">
        <v>0</v>
      </c>
      <c r="K115" s="675">
        <v>0</v>
      </c>
      <c r="L115" s="675">
        <v>0</v>
      </c>
      <c r="M115" s="675">
        <v>0</v>
      </c>
    </row>
    <row r="116" spans="1:13" ht="36">
      <c r="A116" s="647"/>
      <c r="B116" s="647"/>
      <c r="C116" s="652" t="s">
        <v>1300</v>
      </c>
      <c r="D116" s="675">
        <v>0</v>
      </c>
      <c r="E116" s="675">
        <v>0</v>
      </c>
      <c r="F116" s="675">
        <v>0</v>
      </c>
      <c r="G116" s="675">
        <v>0</v>
      </c>
      <c r="H116" s="675">
        <v>0</v>
      </c>
      <c r="I116" s="675">
        <v>0</v>
      </c>
      <c r="J116" s="675">
        <v>0</v>
      </c>
      <c r="K116" s="675">
        <v>0</v>
      </c>
      <c r="L116" s="675">
        <v>0</v>
      </c>
      <c r="M116" s="675">
        <v>0</v>
      </c>
    </row>
    <row r="117" spans="1:13" ht="24">
      <c r="A117" s="647"/>
      <c r="B117" s="647"/>
      <c r="C117" s="652" t="s">
        <v>1301</v>
      </c>
      <c r="D117" s="675">
        <v>0</v>
      </c>
      <c r="E117" s="675">
        <v>0</v>
      </c>
      <c r="F117" s="675">
        <v>0</v>
      </c>
      <c r="G117" s="675">
        <v>0</v>
      </c>
      <c r="H117" s="675">
        <v>0</v>
      </c>
      <c r="I117" s="675">
        <v>0</v>
      </c>
      <c r="J117" s="675">
        <v>0</v>
      </c>
      <c r="K117" s="675">
        <v>0</v>
      </c>
      <c r="L117" s="675">
        <v>0</v>
      </c>
      <c r="M117" s="675">
        <v>0</v>
      </c>
    </row>
    <row r="118" spans="1:13" ht="24">
      <c r="A118" s="647"/>
      <c r="B118" s="647"/>
      <c r="C118" s="652" t="s">
        <v>1302</v>
      </c>
      <c r="D118" s="675">
        <v>0</v>
      </c>
      <c r="E118" s="675">
        <v>0</v>
      </c>
      <c r="F118" s="675">
        <v>0</v>
      </c>
      <c r="G118" s="675">
        <v>0</v>
      </c>
      <c r="H118" s="675">
        <v>0</v>
      </c>
      <c r="I118" s="675">
        <v>0</v>
      </c>
      <c r="J118" s="675">
        <v>0</v>
      </c>
      <c r="K118" s="675">
        <v>0</v>
      </c>
      <c r="L118" s="675">
        <v>0</v>
      </c>
      <c r="M118" s="675">
        <v>0</v>
      </c>
    </row>
    <row r="119" spans="1:13" ht="24">
      <c r="A119" s="647"/>
      <c r="B119" s="647"/>
      <c r="C119" s="652" t="s">
        <v>1275</v>
      </c>
      <c r="D119" s="675">
        <v>0</v>
      </c>
      <c r="E119" s="675">
        <v>0</v>
      </c>
      <c r="F119" s="675">
        <v>0</v>
      </c>
      <c r="G119" s="675">
        <v>0</v>
      </c>
      <c r="H119" s="675">
        <v>0</v>
      </c>
      <c r="I119" s="675">
        <v>0</v>
      </c>
      <c r="J119" s="675">
        <v>0</v>
      </c>
      <c r="K119" s="675">
        <v>0</v>
      </c>
      <c r="L119" s="675">
        <v>0</v>
      </c>
      <c r="M119" s="675">
        <v>0</v>
      </c>
    </row>
    <row r="120" spans="1:13">
      <c r="A120" s="647"/>
      <c r="B120" s="647"/>
      <c r="C120" s="652" t="s">
        <v>1276</v>
      </c>
      <c r="D120" s="675">
        <v>0</v>
      </c>
      <c r="E120" s="675">
        <v>0</v>
      </c>
      <c r="F120" s="675">
        <v>0</v>
      </c>
      <c r="G120" s="675">
        <v>0</v>
      </c>
      <c r="H120" s="675">
        <v>0</v>
      </c>
      <c r="I120" s="675">
        <v>0</v>
      </c>
      <c r="J120" s="675">
        <v>0</v>
      </c>
      <c r="K120" s="675">
        <v>0</v>
      </c>
      <c r="L120" s="675">
        <v>0</v>
      </c>
      <c r="M120" s="675">
        <v>0</v>
      </c>
    </row>
    <row r="121" spans="1:13" ht="24">
      <c r="A121" s="647"/>
      <c r="B121" s="647"/>
      <c r="C121" s="652" t="s">
        <v>1277</v>
      </c>
      <c r="D121" s="675">
        <v>0</v>
      </c>
      <c r="E121" s="675">
        <v>0</v>
      </c>
      <c r="F121" s="675">
        <v>0</v>
      </c>
      <c r="G121" s="675">
        <v>0</v>
      </c>
      <c r="H121" s="675">
        <v>0</v>
      </c>
      <c r="I121" s="675">
        <v>0</v>
      </c>
      <c r="J121" s="675">
        <v>0</v>
      </c>
      <c r="K121" s="675">
        <v>0</v>
      </c>
      <c r="L121" s="675">
        <v>0</v>
      </c>
      <c r="M121" s="675">
        <v>0</v>
      </c>
    </row>
    <row r="122" spans="1:13">
      <c r="A122" s="647"/>
      <c r="B122" s="647"/>
      <c r="C122" s="652" t="s">
        <v>1330</v>
      </c>
      <c r="D122" s="675">
        <v>0</v>
      </c>
      <c r="E122" s="675">
        <v>0</v>
      </c>
      <c r="F122" s="675">
        <v>0</v>
      </c>
      <c r="G122" s="675">
        <v>0</v>
      </c>
      <c r="H122" s="675">
        <v>0</v>
      </c>
      <c r="I122" s="675">
        <v>0</v>
      </c>
      <c r="J122" s="675">
        <v>0</v>
      </c>
      <c r="K122" s="675">
        <v>0</v>
      </c>
      <c r="L122" s="675">
        <v>0</v>
      </c>
      <c r="M122" s="675">
        <v>0</v>
      </c>
    </row>
    <row r="123" spans="1:13">
      <c r="A123" s="647"/>
      <c r="B123" s="647"/>
      <c r="C123" s="652" t="s">
        <v>1278</v>
      </c>
      <c r="D123" s="675">
        <v>0</v>
      </c>
      <c r="E123" s="675">
        <v>0</v>
      </c>
      <c r="F123" s="675">
        <v>0</v>
      </c>
      <c r="G123" s="675">
        <v>0</v>
      </c>
      <c r="H123" s="675">
        <v>0</v>
      </c>
      <c r="I123" s="675">
        <v>0</v>
      </c>
      <c r="J123" s="675">
        <v>0</v>
      </c>
      <c r="K123" s="675">
        <v>0</v>
      </c>
      <c r="L123" s="675">
        <v>0</v>
      </c>
      <c r="M123" s="675">
        <v>0</v>
      </c>
    </row>
    <row r="124" spans="1:13" ht="24">
      <c r="A124" s="647"/>
      <c r="B124" s="647"/>
      <c r="C124" s="652" t="s">
        <v>1279</v>
      </c>
      <c r="D124" s="675">
        <v>0</v>
      </c>
      <c r="E124" s="675">
        <v>0</v>
      </c>
      <c r="F124" s="675">
        <v>0</v>
      </c>
      <c r="G124" s="675">
        <v>0</v>
      </c>
      <c r="H124" s="675">
        <v>0</v>
      </c>
      <c r="I124" s="675">
        <v>0</v>
      </c>
      <c r="J124" s="675">
        <v>0</v>
      </c>
      <c r="K124" s="675">
        <v>0</v>
      </c>
      <c r="L124" s="675">
        <v>0</v>
      </c>
      <c r="M124" s="675">
        <v>0</v>
      </c>
    </row>
    <row r="125" spans="1:13">
      <c r="B125" s="647"/>
      <c r="C125" s="652" t="s">
        <v>1280</v>
      </c>
      <c r="D125" s="675">
        <v>0</v>
      </c>
      <c r="E125" s="675">
        <v>0</v>
      </c>
      <c r="F125" s="675">
        <v>0</v>
      </c>
      <c r="G125" s="675">
        <v>0</v>
      </c>
      <c r="H125" s="675">
        <v>0</v>
      </c>
      <c r="I125" s="675">
        <v>0</v>
      </c>
      <c r="J125" s="675">
        <v>0</v>
      </c>
      <c r="K125" s="675">
        <v>0</v>
      </c>
      <c r="L125" s="675">
        <v>0</v>
      </c>
      <c r="M125" s="675">
        <v>0</v>
      </c>
    </row>
    <row r="126" spans="1:13">
      <c r="B126" s="647"/>
      <c r="C126" s="652" t="s">
        <v>1281</v>
      </c>
      <c r="D126" s="675">
        <v>0</v>
      </c>
      <c r="E126" s="675">
        <v>0</v>
      </c>
      <c r="F126" s="675">
        <v>0</v>
      </c>
      <c r="G126" s="675">
        <v>0</v>
      </c>
      <c r="H126" s="675">
        <v>0</v>
      </c>
      <c r="I126" s="675">
        <v>0</v>
      </c>
      <c r="J126" s="675">
        <v>0</v>
      </c>
      <c r="K126" s="675">
        <v>0</v>
      </c>
      <c r="L126" s="675">
        <v>0</v>
      </c>
      <c r="M126" s="675">
        <v>0</v>
      </c>
    </row>
    <row r="127" spans="1:13">
      <c r="B127" s="647"/>
      <c r="C127" s="652" t="s">
        <v>1303</v>
      </c>
      <c r="D127" s="675">
        <v>0</v>
      </c>
      <c r="E127" s="675">
        <v>159800</v>
      </c>
      <c r="F127" s="675">
        <v>0</v>
      </c>
      <c r="G127" s="675">
        <v>0</v>
      </c>
      <c r="H127" s="675">
        <v>0</v>
      </c>
      <c r="I127" s="675">
        <v>0</v>
      </c>
      <c r="J127" s="675">
        <v>0</v>
      </c>
      <c r="K127" s="675">
        <v>0</v>
      </c>
      <c r="L127" s="675">
        <v>31049700</v>
      </c>
      <c r="M127" s="675">
        <v>31209500</v>
      </c>
    </row>
    <row r="128" spans="1:13" ht="36">
      <c r="B128" s="647"/>
      <c r="C128" s="652" t="s">
        <v>1304</v>
      </c>
      <c r="D128" s="675">
        <v>0</v>
      </c>
      <c r="E128" s="675">
        <v>0</v>
      </c>
      <c r="F128" s="675">
        <v>0</v>
      </c>
      <c r="G128" s="675">
        <v>0</v>
      </c>
      <c r="H128" s="675">
        <v>0</v>
      </c>
      <c r="I128" s="675">
        <v>0</v>
      </c>
      <c r="J128" s="675">
        <v>0</v>
      </c>
      <c r="K128" s="675">
        <v>0</v>
      </c>
      <c r="L128" s="675">
        <v>0</v>
      </c>
      <c r="M128" s="675">
        <v>0</v>
      </c>
    </row>
    <row r="129" spans="1:92">
      <c r="B129" s="647"/>
      <c r="C129" s="652" t="s">
        <v>1285</v>
      </c>
      <c r="D129" s="675">
        <v>0</v>
      </c>
      <c r="E129" s="675">
        <v>83594.3</v>
      </c>
      <c r="F129" s="675">
        <v>0</v>
      </c>
      <c r="G129" s="675">
        <v>0</v>
      </c>
      <c r="H129" s="675">
        <v>0</v>
      </c>
      <c r="I129" s="675">
        <v>0</v>
      </c>
      <c r="J129" s="675">
        <v>0</v>
      </c>
      <c r="K129" s="675">
        <v>0</v>
      </c>
      <c r="L129" s="675">
        <v>0</v>
      </c>
      <c r="M129" s="675">
        <v>83594.3</v>
      </c>
    </row>
    <row r="130" spans="1:92">
      <c r="B130" s="647"/>
      <c r="C130" s="652" t="s">
        <v>1286</v>
      </c>
      <c r="D130" s="675">
        <v>0</v>
      </c>
      <c r="E130" s="675">
        <v>0</v>
      </c>
      <c r="F130" s="675">
        <v>0</v>
      </c>
      <c r="G130" s="675">
        <v>0</v>
      </c>
      <c r="H130" s="675">
        <v>0</v>
      </c>
      <c r="I130" s="675">
        <v>0</v>
      </c>
      <c r="J130" s="675">
        <v>0</v>
      </c>
      <c r="K130" s="675">
        <v>0</v>
      </c>
      <c r="L130" s="675">
        <v>0</v>
      </c>
      <c r="M130" s="675">
        <v>0</v>
      </c>
    </row>
    <row r="131" spans="1:92" ht="24">
      <c r="B131" s="647"/>
      <c r="C131" s="652" t="s">
        <v>1305</v>
      </c>
      <c r="D131" s="675">
        <v>0</v>
      </c>
      <c r="E131" s="675">
        <v>0</v>
      </c>
      <c r="F131" s="675">
        <v>0</v>
      </c>
      <c r="G131" s="675">
        <v>0</v>
      </c>
      <c r="H131" s="675">
        <v>0</v>
      </c>
      <c r="I131" s="675">
        <v>0</v>
      </c>
      <c r="J131" s="675">
        <v>0</v>
      </c>
      <c r="K131" s="675">
        <v>0</v>
      </c>
      <c r="L131" s="675">
        <v>0</v>
      </c>
      <c r="M131" s="675">
        <v>0</v>
      </c>
    </row>
    <row r="132" spans="1:92" ht="24">
      <c r="B132" s="647"/>
      <c r="C132" s="652" t="s">
        <v>1288</v>
      </c>
      <c r="D132" s="675">
        <v>0</v>
      </c>
      <c r="E132" s="675">
        <v>0</v>
      </c>
      <c r="F132" s="675">
        <v>0</v>
      </c>
      <c r="G132" s="675">
        <v>0</v>
      </c>
      <c r="H132" s="675">
        <v>0</v>
      </c>
      <c r="I132" s="675">
        <v>0</v>
      </c>
      <c r="J132" s="675">
        <v>0</v>
      </c>
      <c r="K132" s="675">
        <v>0</v>
      </c>
      <c r="L132" s="675">
        <v>0</v>
      </c>
      <c r="M132" s="675">
        <v>0</v>
      </c>
    </row>
    <row r="133" spans="1:92" ht="24">
      <c r="B133" s="647"/>
      <c r="C133" s="652" t="s">
        <v>1306</v>
      </c>
      <c r="D133" s="675">
        <v>0</v>
      </c>
      <c r="E133" s="675">
        <v>0</v>
      </c>
      <c r="F133" s="675">
        <v>0</v>
      </c>
      <c r="G133" s="675">
        <v>0</v>
      </c>
      <c r="H133" s="675">
        <v>0</v>
      </c>
      <c r="I133" s="675">
        <v>0</v>
      </c>
      <c r="J133" s="675">
        <v>0</v>
      </c>
      <c r="K133" s="675">
        <v>0</v>
      </c>
      <c r="L133" s="675">
        <v>0</v>
      </c>
      <c r="M133" s="675">
        <v>0</v>
      </c>
    </row>
    <row r="134" spans="1:92">
      <c r="B134" s="647"/>
      <c r="C134" s="652" t="s">
        <v>1290</v>
      </c>
      <c r="D134" s="675">
        <v>0</v>
      </c>
      <c r="E134" s="675">
        <v>0</v>
      </c>
      <c r="F134" s="675">
        <v>0</v>
      </c>
      <c r="G134" s="675">
        <v>0</v>
      </c>
      <c r="H134" s="675">
        <v>0</v>
      </c>
      <c r="I134" s="675">
        <v>0</v>
      </c>
      <c r="J134" s="675">
        <v>0</v>
      </c>
      <c r="K134" s="675">
        <v>0</v>
      </c>
      <c r="L134" s="675">
        <v>0</v>
      </c>
      <c r="M134" s="675">
        <v>0</v>
      </c>
    </row>
    <row r="135" spans="1:92" ht="24">
      <c r="B135" s="647"/>
      <c r="C135" s="652" t="s">
        <v>1307</v>
      </c>
      <c r="D135" s="675">
        <v>0</v>
      </c>
      <c r="E135" s="675">
        <v>0</v>
      </c>
      <c r="F135" s="675">
        <v>0</v>
      </c>
      <c r="G135" s="675">
        <v>0</v>
      </c>
      <c r="H135" s="675">
        <v>0</v>
      </c>
      <c r="I135" s="675">
        <v>0</v>
      </c>
      <c r="J135" s="675">
        <v>0</v>
      </c>
      <c r="K135" s="675">
        <v>0</v>
      </c>
      <c r="L135" s="675">
        <v>0</v>
      </c>
      <c r="M135" s="675">
        <v>0</v>
      </c>
    </row>
    <row r="136" spans="1:92" ht="24">
      <c r="B136" s="647"/>
      <c r="C136" s="652" t="s">
        <v>1331</v>
      </c>
      <c r="D136" s="675">
        <v>0</v>
      </c>
      <c r="E136" s="675">
        <v>0</v>
      </c>
      <c r="F136" s="675">
        <v>0</v>
      </c>
      <c r="G136" s="675">
        <v>0</v>
      </c>
      <c r="H136" s="675">
        <v>0</v>
      </c>
      <c r="I136" s="675">
        <v>0</v>
      </c>
      <c r="J136" s="675">
        <v>0</v>
      </c>
      <c r="K136" s="675">
        <v>0</v>
      </c>
      <c r="L136" s="675">
        <v>0</v>
      </c>
      <c r="M136" s="675">
        <v>0</v>
      </c>
    </row>
    <row r="137" spans="1:92" ht="24">
      <c r="B137" s="647"/>
      <c r="C137" s="652" t="s">
        <v>1293</v>
      </c>
      <c r="D137" s="675">
        <v>0</v>
      </c>
      <c r="E137" s="675">
        <v>0</v>
      </c>
      <c r="F137" s="675">
        <v>0</v>
      </c>
      <c r="G137" s="675">
        <v>0</v>
      </c>
      <c r="H137" s="675">
        <v>0</v>
      </c>
      <c r="I137" s="675">
        <v>0</v>
      </c>
      <c r="J137" s="675">
        <v>0</v>
      </c>
      <c r="K137" s="675">
        <v>0</v>
      </c>
      <c r="L137" s="675">
        <v>0</v>
      </c>
      <c r="M137" s="675">
        <v>0</v>
      </c>
    </row>
    <row r="138" spans="1:92">
      <c r="B138" s="647"/>
      <c r="C138" s="652" t="s">
        <v>1294</v>
      </c>
      <c r="D138" s="675">
        <v>0</v>
      </c>
      <c r="E138" s="675">
        <v>83594.3</v>
      </c>
      <c r="F138" s="675">
        <v>0</v>
      </c>
      <c r="G138" s="675">
        <v>0</v>
      </c>
      <c r="H138" s="675">
        <v>0</v>
      </c>
      <c r="I138" s="675">
        <v>0</v>
      </c>
      <c r="J138" s="675">
        <v>0</v>
      </c>
      <c r="K138" s="675">
        <v>0</v>
      </c>
      <c r="L138" s="675">
        <v>0</v>
      </c>
      <c r="M138" s="675">
        <v>83594.3</v>
      </c>
    </row>
    <row r="139" spans="1:92" ht="24">
      <c r="B139" s="656"/>
      <c r="C139" s="652" t="s">
        <v>1295</v>
      </c>
      <c r="D139" s="675">
        <v>0</v>
      </c>
      <c r="E139" s="675">
        <v>0</v>
      </c>
      <c r="F139" s="675">
        <v>0</v>
      </c>
      <c r="G139" s="675">
        <v>0</v>
      </c>
      <c r="H139" s="675">
        <v>0</v>
      </c>
      <c r="I139" s="675">
        <v>0</v>
      </c>
      <c r="J139" s="675">
        <v>0</v>
      </c>
      <c r="K139" s="675">
        <v>0</v>
      </c>
      <c r="L139" s="675">
        <v>0</v>
      </c>
      <c r="M139" s="675">
        <v>0</v>
      </c>
    </row>
    <row r="140" spans="1:92">
      <c r="C140" s="652" t="s">
        <v>1296</v>
      </c>
      <c r="D140" s="675">
        <v>0</v>
      </c>
      <c r="E140" s="675">
        <v>76205.7</v>
      </c>
      <c r="F140" s="675">
        <v>0</v>
      </c>
      <c r="G140" s="675">
        <v>0</v>
      </c>
      <c r="H140" s="675">
        <v>0</v>
      </c>
      <c r="I140" s="675">
        <v>0</v>
      </c>
      <c r="J140" s="675">
        <v>0</v>
      </c>
      <c r="K140" s="675">
        <v>0</v>
      </c>
      <c r="L140" s="675">
        <v>31049700</v>
      </c>
      <c r="M140" s="675">
        <v>31125905.699999999</v>
      </c>
      <c r="N140" s="647"/>
      <c r="O140" s="647"/>
      <c r="P140" s="647"/>
      <c r="Q140" s="647"/>
      <c r="R140" s="647"/>
      <c r="S140" s="647"/>
      <c r="T140" s="647"/>
      <c r="U140" s="647"/>
      <c r="V140" s="647"/>
      <c r="W140" s="647"/>
      <c r="X140" s="647"/>
      <c r="Y140" s="647"/>
      <c r="Z140" s="647"/>
      <c r="AA140" s="647"/>
      <c r="AB140" s="647"/>
      <c r="AC140" s="647"/>
      <c r="AD140" s="647"/>
      <c r="AE140" s="647"/>
      <c r="AF140" s="647"/>
      <c r="AG140" s="647"/>
      <c r="AH140" s="647"/>
      <c r="AI140" s="647"/>
      <c r="AJ140" s="647"/>
      <c r="AK140" s="647"/>
      <c r="AL140" s="647"/>
      <c r="AM140" s="647"/>
      <c r="AN140" s="647"/>
      <c r="AO140" s="647"/>
      <c r="AP140" s="647"/>
      <c r="AQ140" s="647"/>
      <c r="AR140" s="647"/>
      <c r="AS140" s="647"/>
      <c r="AT140" s="647"/>
      <c r="AU140" s="647"/>
      <c r="AV140" s="647"/>
      <c r="AW140" s="647"/>
      <c r="AX140" s="647"/>
      <c r="AY140" s="647"/>
      <c r="AZ140" s="647"/>
      <c r="BA140" s="647"/>
      <c r="BB140" s="647"/>
      <c r="BC140" s="647"/>
      <c r="BD140" s="647"/>
      <c r="BE140" s="647"/>
      <c r="BF140" s="647"/>
      <c r="BG140" s="647"/>
      <c r="BH140" s="647"/>
      <c r="BI140" s="647"/>
      <c r="BJ140" s="647"/>
      <c r="BK140" s="647"/>
      <c r="BL140" s="647"/>
      <c r="BM140" s="647"/>
      <c r="BN140" s="647"/>
      <c r="BO140" s="647"/>
      <c r="BP140" s="647"/>
      <c r="BQ140" s="647"/>
      <c r="BR140" s="647"/>
      <c r="BS140" s="647"/>
      <c r="BT140" s="647"/>
      <c r="BU140" s="647"/>
      <c r="BV140" s="647"/>
      <c r="BW140" s="647"/>
      <c r="BX140" s="647"/>
      <c r="BY140" s="647"/>
      <c r="BZ140" s="647"/>
      <c r="CA140" s="647"/>
      <c r="CB140" s="647"/>
      <c r="CC140" s="647"/>
      <c r="CD140" s="647"/>
      <c r="CE140" s="647"/>
      <c r="CF140" s="647"/>
      <c r="CG140" s="647"/>
      <c r="CH140" s="647"/>
      <c r="CI140" s="647"/>
      <c r="CJ140" s="647"/>
      <c r="CK140" s="647"/>
      <c r="CL140" s="647"/>
      <c r="CM140" s="647"/>
      <c r="CN140" s="647"/>
    </row>
    <row r="141" spans="1:92">
      <c r="B141" s="647"/>
      <c r="C141" s="652" t="s">
        <v>1297</v>
      </c>
      <c r="D141" s="675">
        <v>0</v>
      </c>
      <c r="E141" s="675">
        <v>76205.7</v>
      </c>
      <c r="F141" s="675">
        <v>0</v>
      </c>
      <c r="G141" s="675">
        <v>0</v>
      </c>
      <c r="H141" s="675">
        <v>0</v>
      </c>
      <c r="I141" s="675">
        <v>0</v>
      </c>
      <c r="J141" s="675">
        <v>0</v>
      </c>
      <c r="K141" s="675">
        <v>0</v>
      </c>
      <c r="L141" s="675">
        <v>31049700</v>
      </c>
      <c r="M141" s="675">
        <v>31125905.699999999</v>
      </c>
      <c r="N141" s="647"/>
      <c r="O141" s="647"/>
      <c r="P141" s="647"/>
      <c r="Q141" s="647"/>
      <c r="R141" s="647"/>
      <c r="S141" s="647"/>
      <c r="T141" s="647"/>
      <c r="U141" s="647"/>
      <c r="V141" s="647"/>
      <c r="W141" s="647"/>
      <c r="X141" s="647"/>
      <c r="Y141" s="647"/>
      <c r="Z141" s="647"/>
      <c r="AA141" s="647"/>
      <c r="AB141" s="647"/>
      <c r="AC141" s="647"/>
      <c r="AD141" s="647"/>
      <c r="AE141" s="647"/>
      <c r="AF141" s="647"/>
      <c r="AG141" s="647"/>
      <c r="AH141" s="647"/>
      <c r="AI141" s="647"/>
      <c r="AJ141" s="647"/>
      <c r="AK141" s="647"/>
      <c r="AL141" s="647"/>
      <c r="AM141" s="647"/>
      <c r="AN141" s="647"/>
      <c r="AO141" s="647"/>
      <c r="AP141" s="647"/>
      <c r="AQ141" s="647"/>
      <c r="AR141" s="647"/>
      <c r="AS141" s="647"/>
      <c r="AT141" s="647"/>
      <c r="AU141" s="647"/>
      <c r="AV141" s="647"/>
      <c r="AW141" s="647"/>
      <c r="AX141" s="647"/>
      <c r="AY141" s="647"/>
      <c r="AZ141" s="647"/>
      <c r="BA141" s="647"/>
      <c r="BB141" s="647"/>
      <c r="BC141" s="647"/>
      <c r="BD141" s="647"/>
      <c r="BE141" s="647"/>
      <c r="BF141" s="647"/>
      <c r="BG141" s="647"/>
      <c r="BH141" s="647"/>
      <c r="BI141" s="647"/>
      <c r="BJ141" s="647"/>
      <c r="BK141" s="647"/>
      <c r="BL141" s="647"/>
      <c r="BM141" s="647"/>
      <c r="BN141" s="647"/>
      <c r="BO141" s="647"/>
      <c r="BP141" s="647"/>
      <c r="BQ141" s="647"/>
      <c r="BR141" s="647"/>
      <c r="BS141" s="647"/>
      <c r="BT141" s="647"/>
      <c r="BU141" s="647"/>
      <c r="BV141" s="647"/>
      <c r="BW141" s="647"/>
      <c r="BX141" s="647"/>
      <c r="BY141" s="647"/>
      <c r="BZ141" s="647"/>
      <c r="CA141" s="647"/>
      <c r="CB141" s="647"/>
      <c r="CC141" s="647"/>
      <c r="CD141" s="647"/>
      <c r="CE141" s="647"/>
      <c r="CF141" s="647"/>
      <c r="CG141" s="647"/>
      <c r="CH141" s="647"/>
      <c r="CI141" s="647"/>
      <c r="CJ141" s="647"/>
      <c r="CK141" s="647"/>
      <c r="CL141" s="647"/>
      <c r="CM141" s="647"/>
      <c r="CN141" s="647"/>
    </row>
    <row r="142" spans="1:92">
      <c r="A142" s="646" t="s">
        <v>1001</v>
      </c>
      <c r="B142" s="647"/>
      <c r="C142" s="46"/>
      <c r="D142" s="676"/>
      <c r="E142" s="676"/>
      <c r="F142" s="676"/>
      <c r="G142" s="676"/>
      <c r="H142" s="676"/>
      <c r="I142" s="676"/>
      <c r="J142" s="676"/>
      <c r="K142" s="676"/>
      <c r="L142" s="676"/>
      <c r="M142" s="676"/>
      <c r="N142" s="647"/>
      <c r="O142" s="647"/>
      <c r="P142" s="647"/>
      <c r="Q142" s="647"/>
      <c r="R142" s="647"/>
      <c r="S142" s="647"/>
      <c r="T142" s="647"/>
      <c r="U142" s="647"/>
      <c r="V142" s="647"/>
      <c r="W142" s="647"/>
      <c r="X142" s="647"/>
      <c r="Y142" s="647"/>
      <c r="Z142" s="647"/>
      <c r="AA142" s="647"/>
      <c r="AB142" s="647"/>
      <c r="AC142" s="647"/>
      <c r="AD142" s="647"/>
      <c r="AE142" s="647"/>
      <c r="AF142" s="647"/>
      <c r="AG142" s="647"/>
      <c r="AH142" s="647"/>
      <c r="AI142" s="647"/>
      <c r="AJ142" s="647"/>
      <c r="AK142" s="647"/>
      <c r="AL142" s="647"/>
      <c r="AM142" s="647"/>
      <c r="AN142" s="647"/>
      <c r="AO142" s="647"/>
      <c r="AP142" s="647"/>
      <c r="AQ142" s="647"/>
      <c r="AR142" s="647"/>
      <c r="AS142" s="647"/>
      <c r="AT142" s="647"/>
      <c r="AU142" s="647"/>
      <c r="AV142" s="647"/>
      <c r="AW142" s="647"/>
      <c r="AX142" s="647"/>
      <c r="AY142" s="647"/>
      <c r="AZ142" s="647"/>
      <c r="BA142" s="647"/>
      <c r="BB142" s="647"/>
      <c r="BC142" s="647"/>
      <c r="BD142" s="647"/>
      <c r="BE142" s="647"/>
      <c r="BF142" s="647"/>
      <c r="BG142" s="647"/>
      <c r="BH142" s="647"/>
      <c r="BI142" s="647"/>
      <c r="BJ142" s="647"/>
      <c r="BK142" s="647"/>
      <c r="BL142" s="647"/>
      <c r="BM142" s="647"/>
      <c r="BN142" s="647"/>
      <c r="BO142" s="647"/>
      <c r="BP142" s="647"/>
      <c r="BQ142" s="647"/>
      <c r="BR142" s="647"/>
      <c r="BS142" s="647"/>
      <c r="BT142" s="647"/>
      <c r="BU142" s="647"/>
      <c r="BV142" s="647"/>
      <c r="BW142" s="647"/>
      <c r="BX142" s="647"/>
      <c r="BY142" s="647"/>
      <c r="BZ142" s="647"/>
      <c r="CA142" s="647"/>
      <c r="CB142" s="647"/>
      <c r="CC142" s="647"/>
      <c r="CD142" s="647"/>
      <c r="CE142" s="647"/>
      <c r="CF142" s="647"/>
      <c r="CG142" s="647"/>
      <c r="CH142" s="647"/>
      <c r="CI142" s="647"/>
      <c r="CJ142" s="647"/>
      <c r="CK142" s="647"/>
      <c r="CL142" s="647"/>
      <c r="CM142" s="647"/>
      <c r="CN142" s="647"/>
    </row>
    <row r="143" spans="1:92">
      <c r="A143" s="647"/>
      <c r="B143" s="646" t="s">
        <v>1059</v>
      </c>
      <c r="C143" s="647"/>
      <c r="D143" s="647"/>
      <c r="F143" s="647"/>
      <c r="G143" s="647"/>
      <c r="H143" s="647"/>
      <c r="I143" s="660"/>
      <c r="J143" s="647"/>
      <c r="K143" s="647"/>
      <c r="L143" s="647"/>
      <c r="M143" s="647"/>
      <c r="N143" s="647"/>
      <c r="O143" s="647"/>
      <c r="P143" s="647"/>
      <c r="Q143" s="647"/>
      <c r="R143" s="647"/>
      <c r="S143" s="647"/>
      <c r="T143" s="647"/>
      <c r="U143" s="647"/>
      <c r="V143" s="647"/>
      <c r="W143" s="647"/>
      <c r="X143" s="647"/>
      <c r="Y143" s="647"/>
      <c r="Z143" s="647"/>
      <c r="AA143" s="647"/>
      <c r="AB143" s="647"/>
      <c r="AC143" s="647"/>
      <c r="AD143" s="647"/>
      <c r="AE143" s="647"/>
      <c r="AF143" s="647"/>
      <c r="AG143" s="647"/>
      <c r="AH143" s="647"/>
      <c r="AI143" s="647"/>
      <c r="AJ143" s="647"/>
      <c r="AK143" s="647"/>
      <c r="AL143" s="647"/>
      <c r="AM143" s="647"/>
      <c r="AN143" s="647"/>
      <c r="AO143" s="647"/>
      <c r="AP143" s="647"/>
      <c r="AQ143" s="647"/>
      <c r="AR143" s="647"/>
      <c r="AS143" s="647"/>
      <c r="AT143" s="647"/>
      <c r="AU143" s="647"/>
      <c r="AV143" s="647"/>
      <c r="AW143" s="647"/>
      <c r="AX143" s="647"/>
      <c r="AY143" s="647"/>
      <c r="AZ143" s="647"/>
      <c r="BA143" s="647"/>
      <c r="BB143" s="647"/>
      <c r="BC143" s="647"/>
      <c r="BD143" s="647"/>
      <c r="BE143" s="647"/>
      <c r="BF143" s="647"/>
      <c r="BG143" s="647"/>
      <c r="BH143" s="647"/>
      <c r="BI143" s="647"/>
      <c r="BJ143" s="647"/>
      <c r="BK143" s="647"/>
      <c r="BL143" s="647"/>
      <c r="BM143" s="647"/>
      <c r="BN143" s="647"/>
      <c r="BO143" s="647"/>
      <c r="BP143" s="647"/>
      <c r="BQ143" s="647"/>
      <c r="BR143" s="647"/>
      <c r="BS143" s="647"/>
      <c r="BT143" s="647"/>
      <c r="BU143" s="647"/>
      <c r="BV143" s="647"/>
      <c r="BW143" s="647"/>
      <c r="BX143" s="647"/>
      <c r="BY143" s="647"/>
      <c r="BZ143" s="647"/>
      <c r="CA143" s="647"/>
      <c r="CB143" s="647"/>
      <c r="CC143" s="647"/>
      <c r="CD143" s="647"/>
      <c r="CE143" s="647"/>
      <c r="CF143" s="647"/>
      <c r="CG143" s="647"/>
      <c r="CH143" s="647"/>
      <c r="CI143" s="647"/>
      <c r="CJ143" s="647"/>
      <c r="CK143" s="647"/>
      <c r="CL143" s="647"/>
      <c r="CM143" s="647"/>
      <c r="CN143" s="647"/>
    </row>
    <row r="144" spans="1:92">
      <c r="A144" s="647"/>
      <c r="B144" s="661" t="s">
        <v>99</v>
      </c>
      <c r="C144" s="661" t="s">
        <v>65</v>
      </c>
      <c r="D144" s="661" t="s">
        <v>1060</v>
      </c>
      <c r="E144" s="662" t="s">
        <v>1061</v>
      </c>
      <c r="F144" s="661" t="s">
        <v>222</v>
      </c>
      <c r="G144" s="661" t="s">
        <v>1062</v>
      </c>
      <c r="H144" s="661" t="s">
        <v>222</v>
      </c>
      <c r="I144" s="661" t="s">
        <v>1062</v>
      </c>
      <c r="J144" s="647"/>
      <c r="K144" s="647"/>
      <c r="L144" s="647"/>
      <c r="M144" s="647"/>
      <c r="N144" s="647"/>
      <c r="O144" s="647"/>
      <c r="P144" s="647"/>
      <c r="Q144" s="647"/>
      <c r="R144" s="647"/>
      <c r="S144" s="647"/>
      <c r="T144" s="647"/>
      <c r="U144" s="647"/>
      <c r="V144" s="647"/>
      <c r="W144" s="647"/>
      <c r="X144" s="647"/>
      <c r="Y144" s="647"/>
      <c r="Z144" s="647"/>
      <c r="AA144" s="647"/>
      <c r="AB144" s="647"/>
      <c r="AC144" s="647"/>
      <c r="AD144" s="647"/>
      <c r="AE144" s="647"/>
      <c r="AF144" s="647"/>
      <c r="AG144" s="647"/>
      <c r="AH144" s="647"/>
      <c r="AI144" s="647"/>
      <c r="AJ144" s="647"/>
      <c r="AK144" s="647"/>
      <c r="AL144" s="647"/>
      <c r="AM144" s="647"/>
      <c r="AN144" s="647"/>
      <c r="AO144" s="647"/>
      <c r="AP144" s="647"/>
      <c r="AQ144" s="647"/>
      <c r="AR144" s="647"/>
      <c r="AS144" s="647"/>
      <c r="AT144" s="647"/>
      <c r="AU144" s="647"/>
      <c r="AV144" s="647"/>
      <c r="AW144" s="647"/>
      <c r="AX144" s="647"/>
      <c r="AY144" s="647"/>
      <c r="AZ144" s="647"/>
      <c r="BA144" s="647"/>
      <c r="BB144" s="647"/>
      <c r="BC144" s="647"/>
      <c r="BD144" s="647"/>
      <c r="BE144" s="647"/>
      <c r="BF144" s="647"/>
      <c r="BG144" s="647"/>
      <c r="BH144" s="647"/>
      <c r="BI144" s="647"/>
      <c r="BJ144" s="647"/>
      <c r="BK144" s="647"/>
      <c r="BL144" s="647"/>
      <c r="BM144" s="647"/>
      <c r="BN144" s="647"/>
      <c r="BO144" s="647"/>
      <c r="BP144" s="647"/>
      <c r="BQ144" s="647"/>
      <c r="BR144" s="647"/>
      <c r="BS144" s="647"/>
      <c r="BT144" s="647"/>
      <c r="BU144" s="647"/>
      <c r="BV144" s="647"/>
      <c r="BW144" s="647"/>
      <c r="BX144" s="647"/>
      <c r="BY144" s="647"/>
      <c r="BZ144" s="647"/>
      <c r="CA144" s="647"/>
      <c r="CB144" s="647"/>
      <c r="CC144" s="647"/>
      <c r="CD144" s="647"/>
      <c r="CE144" s="647"/>
      <c r="CF144" s="647"/>
      <c r="CG144" s="647"/>
      <c r="CH144" s="647"/>
      <c r="CI144" s="647"/>
      <c r="CJ144" s="647"/>
      <c r="CK144" s="647"/>
      <c r="CL144" s="647"/>
      <c r="CM144" s="647"/>
      <c r="CN144" s="647"/>
    </row>
    <row r="145" spans="1:92">
      <c r="A145" s="647"/>
      <c r="B145" s="663" t="s">
        <v>1003</v>
      </c>
      <c r="C145" s="663" t="s">
        <v>1007</v>
      </c>
      <c r="D145" s="664" t="s">
        <v>1063</v>
      </c>
      <c r="E145" s="665" t="s">
        <v>1007</v>
      </c>
      <c r="F145" s="664" t="s">
        <v>1063</v>
      </c>
      <c r="G145" s="664" t="s">
        <v>1063</v>
      </c>
      <c r="H145" s="664" t="s">
        <v>1063</v>
      </c>
      <c r="I145" s="664" t="s">
        <v>1063</v>
      </c>
      <c r="J145" s="647"/>
      <c r="K145" s="647"/>
      <c r="L145" s="647"/>
      <c r="M145" s="647"/>
      <c r="N145" s="647"/>
      <c r="O145" s="647"/>
      <c r="P145" s="647"/>
      <c r="Q145" s="647"/>
      <c r="R145" s="647"/>
      <c r="S145" s="647"/>
      <c r="T145" s="647"/>
      <c r="U145" s="647"/>
      <c r="V145" s="647"/>
      <c r="W145" s="647"/>
      <c r="X145" s="647"/>
      <c r="Y145" s="647"/>
      <c r="Z145" s="647"/>
      <c r="AA145" s="647"/>
      <c r="AB145" s="647"/>
      <c r="AC145" s="647"/>
      <c r="AD145" s="647"/>
      <c r="AE145" s="647"/>
      <c r="AF145" s="647"/>
      <c r="AG145" s="647"/>
      <c r="AH145" s="647"/>
      <c r="AI145" s="647"/>
      <c r="AJ145" s="647"/>
      <c r="AK145" s="647"/>
      <c r="AL145" s="647"/>
      <c r="AM145" s="647"/>
      <c r="AN145" s="647"/>
      <c r="AO145" s="647"/>
      <c r="AP145" s="647"/>
      <c r="AQ145" s="647"/>
      <c r="AR145" s="647"/>
      <c r="AS145" s="647"/>
      <c r="AT145" s="647"/>
      <c r="AU145" s="647"/>
      <c r="AV145" s="647"/>
      <c r="AW145" s="647"/>
      <c r="AX145" s="647"/>
      <c r="AY145" s="647"/>
      <c r="AZ145" s="647"/>
      <c r="BA145" s="647"/>
      <c r="BB145" s="647"/>
      <c r="BC145" s="647"/>
      <c r="BD145" s="647"/>
      <c r="BE145" s="647"/>
      <c r="BF145" s="647"/>
      <c r="BG145" s="647"/>
      <c r="BH145" s="647"/>
      <c r="BI145" s="647"/>
      <c r="BJ145" s="647"/>
      <c r="BK145" s="647"/>
      <c r="BL145" s="647"/>
      <c r="BM145" s="647"/>
      <c r="BN145" s="647"/>
      <c r="BO145" s="647"/>
      <c r="BP145" s="647"/>
      <c r="BQ145" s="647"/>
      <c r="BR145" s="647"/>
      <c r="BS145" s="647"/>
      <c r="BT145" s="647"/>
      <c r="BU145" s="647"/>
      <c r="BV145" s="647"/>
      <c r="BW145" s="647"/>
      <c r="BX145" s="647"/>
      <c r="BY145" s="647"/>
      <c r="BZ145" s="647"/>
      <c r="CA145" s="647"/>
      <c r="CB145" s="647"/>
      <c r="CC145" s="647"/>
      <c r="CD145" s="647"/>
      <c r="CE145" s="647"/>
      <c r="CF145" s="647"/>
      <c r="CG145" s="647"/>
      <c r="CH145" s="647"/>
      <c r="CI145" s="647"/>
      <c r="CJ145" s="647"/>
      <c r="CK145" s="647"/>
      <c r="CL145" s="647"/>
      <c r="CM145" s="647"/>
      <c r="CN145" s="647"/>
    </row>
    <row r="146" spans="1:92">
      <c r="A146" s="647"/>
      <c r="B146" s="663" t="s">
        <v>1004</v>
      </c>
      <c r="C146" s="666" t="s">
        <v>95</v>
      </c>
      <c r="D146" s="664" t="s">
        <v>1063</v>
      </c>
      <c r="E146" s="665" t="s">
        <v>1007</v>
      </c>
      <c r="F146" s="664" t="s">
        <v>1063</v>
      </c>
      <c r="G146" s="664" t="s">
        <v>1063</v>
      </c>
      <c r="H146" s="664" t="s">
        <v>1063</v>
      </c>
      <c r="I146" s="664" t="s">
        <v>1063</v>
      </c>
      <c r="J146" s="647"/>
      <c r="K146" s="647"/>
      <c r="L146" s="647"/>
      <c r="M146" s="647"/>
      <c r="N146" s="647"/>
      <c r="O146" s="647"/>
      <c r="P146" s="647"/>
      <c r="Q146" s="647"/>
      <c r="R146" s="647"/>
      <c r="S146" s="647"/>
      <c r="T146" s="647"/>
      <c r="U146" s="647"/>
      <c r="V146" s="647"/>
      <c r="W146" s="647"/>
      <c r="X146" s="647"/>
      <c r="Y146" s="647"/>
      <c r="Z146" s="647"/>
      <c r="AA146" s="647"/>
      <c r="AB146" s="647"/>
      <c r="AC146" s="647"/>
      <c r="AD146" s="647"/>
      <c r="AE146" s="647"/>
      <c r="AF146" s="647"/>
      <c r="AG146" s="647"/>
      <c r="AH146" s="647"/>
      <c r="AI146" s="647"/>
      <c r="AJ146" s="647"/>
      <c r="AK146" s="647"/>
      <c r="AL146" s="647"/>
      <c r="AM146" s="647"/>
      <c r="AN146" s="647"/>
      <c r="AO146" s="647"/>
      <c r="AP146" s="647"/>
      <c r="AQ146" s="647"/>
      <c r="AR146" s="647"/>
      <c r="AS146" s="647"/>
      <c r="AT146" s="647"/>
      <c r="AU146" s="647"/>
      <c r="AV146" s="647"/>
      <c r="AW146" s="647"/>
      <c r="AX146" s="647"/>
      <c r="AY146" s="647"/>
      <c r="AZ146" s="647"/>
      <c r="BA146" s="647"/>
      <c r="BB146" s="647"/>
      <c r="BC146" s="647"/>
      <c r="BD146" s="647"/>
      <c r="BE146" s="647"/>
      <c r="BF146" s="647"/>
      <c r="BG146" s="647"/>
      <c r="BH146" s="647"/>
      <c r="BI146" s="647"/>
      <c r="BJ146" s="647"/>
      <c r="BK146" s="647"/>
      <c r="BL146" s="647"/>
      <c r="BM146" s="647"/>
      <c r="BN146" s="647"/>
      <c r="BO146" s="647"/>
      <c r="BP146" s="647"/>
      <c r="BQ146" s="647"/>
      <c r="BR146" s="647"/>
      <c r="BS146" s="647"/>
      <c r="BT146" s="647"/>
      <c r="BU146" s="647"/>
      <c r="BV146" s="647"/>
      <c r="BW146" s="647"/>
      <c r="BX146" s="647"/>
      <c r="BY146" s="647"/>
      <c r="BZ146" s="647"/>
      <c r="CA146" s="647"/>
      <c r="CB146" s="647"/>
      <c r="CC146" s="647"/>
      <c r="CD146" s="647"/>
      <c r="CE146" s="647"/>
      <c r="CF146" s="647"/>
      <c r="CG146" s="647"/>
      <c r="CH146" s="647"/>
      <c r="CI146" s="647"/>
      <c r="CJ146" s="647"/>
      <c r="CK146" s="647"/>
      <c r="CL146" s="647"/>
      <c r="CM146" s="647"/>
      <c r="CN146" s="647"/>
    </row>
    <row r="147" spans="1:92">
      <c r="A147" s="647"/>
      <c r="B147" s="646" t="s">
        <v>1032</v>
      </c>
      <c r="C147" s="647"/>
      <c r="D147" s="647"/>
      <c r="F147" s="647"/>
      <c r="G147" s="647"/>
      <c r="H147" s="647"/>
      <c r="I147" s="647"/>
      <c r="J147" s="647"/>
      <c r="K147" s="647"/>
      <c r="L147" s="647"/>
      <c r="M147" s="647"/>
      <c r="N147" s="647"/>
      <c r="O147" s="647"/>
      <c r="P147" s="647"/>
      <c r="Q147" s="647"/>
      <c r="R147" s="647"/>
      <c r="S147" s="647"/>
      <c r="T147" s="647"/>
      <c r="U147" s="647"/>
      <c r="V147" s="647"/>
      <c r="W147" s="647"/>
      <c r="X147" s="647"/>
      <c r="Y147" s="647"/>
      <c r="Z147" s="647"/>
      <c r="AA147" s="647"/>
      <c r="AB147" s="647"/>
      <c r="AC147" s="647"/>
      <c r="AD147" s="647"/>
      <c r="AE147" s="647"/>
      <c r="AF147" s="647"/>
      <c r="AG147" s="647"/>
      <c r="AH147" s="647"/>
      <c r="AI147" s="647"/>
      <c r="AJ147" s="647"/>
      <c r="AK147" s="647"/>
      <c r="AL147" s="647"/>
      <c r="AM147" s="647"/>
      <c r="AN147" s="647"/>
      <c r="AO147" s="647"/>
      <c r="AP147" s="647"/>
      <c r="AQ147" s="647"/>
      <c r="AR147" s="647"/>
      <c r="AS147" s="647"/>
      <c r="AT147" s="647"/>
      <c r="AU147" s="647"/>
      <c r="AV147" s="647"/>
      <c r="AW147" s="647"/>
      <c r="AX147" s="647"/>
      <c r="AY147" s="647"/>
      <c r="AZ147" s="647"/>
      <c r="BA147" s="647"/>
      <c r="BB147" s="647"/>
      <c r="BC147" s="647"/>
      <c r="BD147" s="647"/>
      <c r="BE147" s="647"/>
      <c r="BF147" s="647"/>
      <c r="BG147" s="647"/>
      <c r="BH147" s="647"/>
      <c r="BI147" s="647"/>
      <c r="BJ147" s="647"/>
      <c r="BK147" s="647"/>
      <c r="BL147" s="647"/>
      <c r="BM147" s="647"/>
      <c r="BN147" s="647"/>
      <c r="BO147" s="647"/>
      <c r="BP147" s="647"/>
      <c r="BQ147" s="647"/>
      <c r="BR147" s="647"/>
      <c r="BS147" s="647"/>
      <c r="BT147" s="647"/>
      <c r="BU147" s="647"/>
      <c r="BV147" s="647"/>
      <c r="BW147" s="647"/>
      <c r="BX147" s="647"/>
      <c r="BY147" s="647"/>
      <c r="BZ147" s="647"/>
      <c r="CA147" s="647"/>
      <c r="CB147" s="647"/>
      <c r="CC147" s="647"/>
      <c r="CD147" s="647"/>
      <c r="CE147" s="647"/>
      <c r="CF147" s="647"/>
      <c r="CG147" s="647"/>
      <c r="CH147" s="647"/>
      <c r="CI147" s="647"/>
      <c r="CJ147" s="647"/>
      <c r="CK147" s="647"/>
      <c r="CL147" s="647"/>
      <c r="CM147" s="647"/>
      <c r="CN147" s="647"/>
    </row>
    <row r="148" spans="1:92">
      <c r="A148" s="647"/>
      <c r="B148" s="660" t="s">
        <v>1007</v>
      </c>
      <c r="C148" s="647"/>
      <c r="D148" s="647"/>
      <c r="F148" s="647"/>
      <c r="G148" s="647"/>
      <c r="H148" s="647"/>
      <c r="I148" s="647"/>
      <c r="J148" s="647"/>
      <c r="K148" s="647"/>
      <c r="L148" s="647"/>
      <c r="M148" s="647"/>
      <c r="N148" s="647"/>
      <c r="O148" s="647"/>
      <c r="P148" s="647"/>
      <c r="Q148" s="647"/>
      <c r="R148" s="647"/>
      <c r="S148" s="647"/>
      <c r="T148" s="647"/>
      <c r="U148" s="647"/>
      <c r="V148" s="647"/>
      <c r="W148" s="647"/>
      <c r="X148" s="647"/>
      <c r="Y148" s="647"/>
      <c r="Z148" s="647"/>
      <c r="AA148" s="647"/>
      <c r="AB148" s="647"/>
      <c r="AC148" s="647"/>
      <c r="AD148" s="647"/>
      <c r="AE148" s="647"/>
      <c r="AF148" s="647"/>
      <c r="AG148" s="647"/>
      <c r="AH148" s="647"/>
      <c r="AI148" s="647"/>
      <c r="AJ148" s="647"/>
      <c r="AK148" s="647"/>
      <c r="AL148" s="647"/>
      <c r="AM148" s="647"/>
      <c r="AN148" s="647"/>
      <c r="AO148" s="647"/>
      <c r="AP148" s="647"/>
      <c r="AQ148" s="647"/>
      <c r="AR148" s="647"/>
      <c r="AS148" s="647"/>
      <c r="AT148" s="647"/>
      <c r="AU148" s="647"/>
      <c r="AV148" s="647"/>
      <c r="AW148" s="647"/>
      <c r="AX148" s="647"/>
      <c r="AY148" s="647"/>
      <c r="AZ148" s="647"/>
      <c r="BA148" s="647"/>
      <c r="BB148" s="647"/>
      <c r="BC148" s="647"/>
      <c r="BD148" s="647"/>
      <c r="BE148" s="647"/>
      <c r="BF148" s="647"/>
      <c r="BG148" s="647"/>
      <c r="BH148" s="647"/>
      <c r="BI148" s="647"/>
      <c r="BJ148" s="647"/>
      <c r="BK148" s="647"/>
      <c r="BL148" s="647"/>
      <c r="BM148" s="647"/>
      <c r="BN148" s="647"/>
      <c r="BO148" s="647"/>
      <c r="BP148" s="647"/>
      <c r="BQ148" s="647"/>
      <c r="BR148" s="647"/>
      <c r="BS148" s="647"/>
      <c r="BT148" s="647"/>
      <c r="BU148" s="647"/>
      <c r="BV148" s="647"/>
      <c r="BW148" s="647"/>
      <c r="BX148" s="647"/>
      <c r="BY148" s="647"/>
      <c r="BZ148" s="647"/>
      <c r="CA148" s="647"/>
      <c r="CB148" s="647"/>
      <c r="CC148" s="647"/>
      <c r="CD148" s="647"/>
      <c r="CE148" s="647"/>
      <c r="CF148" s="647"/>
      <c r="CG148" s="647"/>
      <c r="CH148" s="647"/>
      <c r="CI148" s="647"/>
      <c r="CJ148" s="647"/>
      <c r="CK148" s="647"/>
      <c r="CL148" s="647"/>
      <c r="CM148" s="647"/>
      <c r="CN148" s="647"/>
    </row>
    <row r="149" spans="1:92">
      <c r="A149" s="647" t="s">
        <v>1007</v>
      </c>
      <c r="B149" s="647" t="s">
        <v>1007</v>
      </c>
      <c r="C149" s="647" t="s">
        <v>1007</v>
      </c>
      <c r="D149" s="647" t="s">
        <v>1007</v>
      </c>
      <c r="F149" s="647"/>
      <c r="G149" s="647"/>
      <c r="H149" s="647"/>
      <c r="I149" s="647"/>
      <c r="J149" s="647"/>
      <c r="K149" s="647"/>
      <c r="L149" s="647"/>
      <c r="M149" s="647"/>
      <c r="N149" s="647"/>
      <c r="O149" s="647"/>
      <c r="P149" s="647"/>
      <c r="Q149" s="647"/>
      <c r="R149" s="647"/>
      <c r="S149" s="647"/>
      <c r="T149" s="647"/>
      <c r="U149" s="647"/>
      <c r="V149" s="647"/>
      <c r="W149" s="647"/>
      <c r="X149" s="647"/>
      <c r="Y149" s="647"/>
      <c r="Z149" s="647"/>
      <c r="AA149" s="647"/>
      <c r="AB149" s="647"/>
      <c r="AC149" s="647"/>
      <c r="AD149" s="647"/>
      <c r="AE149" s="647"/>
      <c r="AF149" s="647"/>
      <c r="AG149" s="647"/>
      <c r="AH149" s="647"/>
      <c r="AI149" s="647"/>
      <c r="AJ149" s="647"/>
      <c r="AK149" s="647"/>
      <c r="AL149" s="647"/>
      <c r="AM149" s="647"/>
      <c r="AN149" s="729"/>
      <c r="AO149" s="729"/>
      <c r="AP149" s="729"/>
      <c r="AQ149" s="729"/>
      <c r="AR149" s="729"/>
      <c r="AS149" s="729"/>
      <c r="AT149" s="729"/>
      <c r="AU149" s="729"/>
      <c r="AV149" s="729"/>
      <c r="AW149" s="729"/>
      <c r="AX149" s="729"/>
      <c r="AY149" s="729"/>
      <c r="AZ149" s="729"/>
      <c r="BA149" s="729"/>
      <c r="BB149" s="729"/>
      <c r="BC149" s="729"/>
      <c r="BD149" s="729"/>
      <c r="BE149" s="729"/>
      <c r="BF149" s="729"/>
      <c r="BG149" s="729"/>
      <c r="BH149" s="729"/>
      <c r="BI149" s="729"/>
      <c r="BJ149" s="729"/>
      <c r="BK149" s="729"/>
      <c r="BL149" s="729"/>
      <c r="BM149" s="729"/>
      <c r="BN149" s="729"/>
      <c r="BO149" s="729"/>
      <c r="BP149" s="729"/>
      <c r="BQ149" s="729"/>
      <c r="BR149" s="729"/>
      <c r="BS149" s="729"/>
      <c r="BT149" s="729"/>
      <c r="BU149" s="729"/>
      <c r="BV149" s="729"/>
      <c r="BW149" s="729"/>
      <c r="BX149" s="729"/>
      <c r="BY149" s="729"/>
      <c r="BZ149" s="729"/>
      <c r="CA149" s="729"/>
      <c r="CB149" s="729"/>
      <c r="CC149" s="729"/>
      <c r="CD149" s="729"/>
      <c r="CE149" s="729"/>
      <c r="CF149" s="729"/>
      <c r="CG149" s="729"/>
      <c r="CH149" s="729"/>
      <c r="CI149" s="729"/>
      <c r="CJ149" s="729"/>
      <c r="CK149" s="729"/>
      <c r="CL149" s="729"/>
      <c r="CM149" s="729"/>
      <c r="CN149" s="729"/>
    </row>
    <row r="150" spans="1:92">
      <c r="A150" s="646" t="s">
        <v>1001</v>
      </c>
      <c r="B150" s="647"/>
      <c r="C150" s="647"/>
      <c r="D150" s="647"/>
      <c r="F150" s="647"/>
      <c r="G150" s="647"/>
      <c r="H150" s="647"/>
      <c r="I150" s="647"/>
      <c r="J150" s="647"/>
      <c r="K150" s="647"/>
      <c r="L150" s="647"/>
      <c r="M150" s="647"/>
      <c r="N150" s="647"/>
      <c r="O150" s="647"/>
      <c r="P150" s="647"/>
      <c r="Q150" s="647"/>
      <c r="R150" s="647"/>
      <c r="S150" s="647"/>
      <c r="T150" s="647"/>
      <c r="U150" s="647"/>
      <c r="V150" s="647"/>
      <c r="W150" s="647"/>
      <c r="X150" s="647"/>
      <c r="Y150" s="647"/>
      <c r="Z150" s="647"/>
      <c r="AA150" s="647"/>
      <c r="AB150" s="647"/>
      <c r="AC150" s="647"/>
      <c r="AD150" s="647"/>
      <c r="AE150" s="647"/>
      <c r="AF150" s="647"/>
      <c r="AG150" s="647"/>
      <c r="AH150" s="647"/>
      <c r="AI150" s="647"/>
      <c r="AJ150" s="647"/>
      <c r="AK150" s="647"/>
      <c r="AL150" s="647"/>
      <c r="AM150" s="647"/>
      <c r="AN150" s="647"/>
      <c r="AO150" s="647"/>
      <c r="AP150" s="647"/>
      <c r="AQ150" s="647"/>
      <c r="AR150" s="647"/>
      <c r="AS150" s="647"/>
      <c r="AT150" s="647"/>
      <c r="AU150" s="647"/>
      <c r="AV150" s="647"/>
      <c r="AW150" s="647"/>
      <c r="AX150" s="647"/>
      <c r="AY150" s="647"/>
      <c r="AZ150" s="647"/>
      <c r="BA150" s="647"/>
      <c r="BB150" s="647"/>
      <c r="BC150" s="647"/>
      <c r="BD150" s="647"/>
      <c r="BE150" s="647"/>
      <c r="BF150" s="647"/>
      <c r="BG150" s="647"/>
      <c r="BH150" s="647"/>
      <c r="BI150" s="647"/>
      <c r="BJ150" s="647"/>
      <c r="BK150" s="647"/>
      <c r="BL150" s="647"/>
      <c r="BM150" s="647"/>
      <c r="BN150" s="647"/>
      <c r="BO150" s="647"/>
      <c r="BP150" s="647"/>
      <c r="BQ150" s="647"/>
      <c r="BR150" s="647"/>
      <c r="BS150" s="647"/>
      <c r="BT150" s="647"/>
      <c r="BU150" s="647"/>
      <c r="BV150" s="647"/>
      <c r="BW150" s="647"/>
      <c r="BX150" s="647"/>
      <c r="BY150" s="647"/>
      <c r="BZ150" s="647"/>
      <c r="CA150" s="647"/>
      <c r="CB150" s="647"/>
      <c r="CC150" s="647"/>
      <c r="CD150" s="647"/>
      <c r="CE150" s="647"/>
      <c r="CF150" s="647"/>
      <c r="CG150" s="647"/>
      <c r="CH150" s="647"/>
      <c r="CI150" s="647"/>
      <c r="CJ150" s="647"/>
      <c r="CK150" s="647"/>
      <c r="CL150" s="647"/>
      <c r="CM150" s="647"/>
      <c r="CN150" s="647"/>
    </row>
    <row r="151" spans="1:92">
      <c r="A151" s="647"/>
      <c r="B151" s="646" t="s">
        <v>1064</v>
      </c>
      <c r="C151" s="647"/>
      <c r="D151" s="647"/>
      <c r="F151" s="647"/>
      <c r="G151" s="647"/>
      <c r="H151" s="647"/>
      <c r="I151" s="647"/>
      <c r="J151" s="647"/>
      <c r="K151" s="647"/>
      <c r="L151" s="647"/>
      <c r="M151" s="647"/>
      <c r="N151" s="647"/>
      <c r="O151" s="647"/>
      <c r="P151" s="647"/>
      <c r="Q151" s="647"/>
      <c r="R151" s="647"/>
      <c r="S151" s="647"/>
      <c r="T151" s="647"/>
      <c r="U151" s="647"/>
      <c r="V151" s="647"/>
      <c r="W151" s="647"/>
      <c r="X151" s="647"/>
      <c r="Y151" s="647"/>
      <c r="Z151" s="647"/>
      <c r="AA151" s="647"/>
      <c r="AB151" s="647"/>
      <c r="AC151" s="647"/>
      <c r="AD151" s="647"/>
      <c r="AE151" s="647"/>
      <c r="AF151" s="647"/>
      <c r="AG151" s="647"/>
      <c r="AH151" s="647"/>
      <c r="AI151" s="647"/>
      <c r="AJ151" s="647"/>
      <c r="AK151" s="647"/>
      <c r="AL151" s="647"/>
      <c r="AM151" s="647"/>
      <c r="AN151" s="647"/>
      <c r="AO151" s="647"/>
      <c r="AP151" s="647"/>
      <c r="AQ151" s="647"/>
      <c r="AR151" s="647"/>
      <c r="AS151" s="647"/>
      <c r="AT151" s="647"/>
      <c r="AU151" s="647"/>
      <c r="AV151" s="647"/>
      <c r="AW151" s="647"/>
      <c r="AX151" s="647"/>
      <c r="AY151" s="647"/>
      <c r="AZ151" s="647"/>
      <c r="BA151" s="647"/>
      <c r="BB151" s="647"/>
      <c r="BC151" s="647"/>
      <c r="BD151" s="647"/>
      <c r="BE151" s="647"/>
      <c r="BF151" s="647"/>
      <c r="BG151" s="647"/>
      <c r="BH151" s="647"/>
      <c r="BI151" s="647"/>
      <c r="BJ151" s="647"/>
      <c r="BK151" s="647"/>
      <c r="BL151" s="647"/>
      <c r="BM151" s="647"/>
      <c r="BN151" s="647"/>
      <c r="BO151" s="647"/>
      <c r="BP151" s="647"/>
      <c r="BQ151" s="647"/>
      <c r="BR151" s="647"/>
      <c r="BS151" s="647"/>
      <c r="BT151" s="647"/>
      <c r="BU151" s="647"/>
      <c r="BV151" s="647"/>
      <c r="BW151" s="647"/>
      <c r="BX151" s="647"/>
      <c r="BY151" s="647"/>
      <c r="BZ151" s="647"/>
      <c r="CA151" s="647"/>
      <c r="CB151" s="647"/>
      <c r="CC151" s="647"/>
      <c r="CD151" s="647"/>
      <c r="CE151" s="647"/>
      <c r="CF151" s="647"/>
      <c r="CG151" s="647"/>
      <c r="CH151" s="647"/>
      <c r="CI151" s="647"/>
      <c r="CJ151" s="647"/>
      <c r="CK151" s="647"/>
      <c r="CL151" s="647"/>
      <c r="CM151" s="647"/>
      <c r="CN151" s="647"/>
    </row>
    <row r="152" spans="1:92">
      <c r="A152" s="647"/>
      <c r="B152" s="647"/>
      <c r="C152" s="647"/>
      <c r="D152" s="647"/>
      <c r="F152" s="647"/>
      <c r="G152" s="660"/>
      <c r="H152" s="647"/>
      <c r="I152" s="647"/>
      <c r="J152" s="647"/>
      <c r="K152" s="647"/>
      <c r="L152" s="647"/>
      <c r="M152" s="647"/>
      <c r="N152" s="647"/>
      <c r="O152" s="647"/>
      <c r="P152" s="647"/>
      <c r="Q152" s="647"/>
      <c r="R152" s="647"/>
      <c r="S152" s="647"/>
      <c r="T152" s="647"/>
      <c r="U152" s="647"/>
      <c r="V152" s="647"/>
      <c r="W152" s="647"/>
      <c r="X152" s="647"/>
      <c r="Y152" s="647"/>
      <c r="Z152" s="647"/>
      <c r="AA152" s="647"/>
      <c r="AB152" s="647"/>
      <c r="AC152" s="647"/>
      <c r="AD152" s="647"/>
      <c r="AE152" s="647"/>
      <c r="AF152" s="647"/>
      <c r="AG152" s="647"/>
      <c r="AH152" s="647"/>
      <c r="AI152" s="647"/>
      <c r="AJ152" s="647"/>
      <c r="AK152" s="647"/>
      <c r="AL152" s="647"/>
      <c r="AM152" s="647"/>
      <c r="AN152" s="647"/>
      <c r="AO152" s="647"/>
      <c r="AP152" s="647"/>
      <c r="AQ152" s="647"/>
      <c r="AR152" s="647"/>
      <c r="AS152" s="647"/>
      <c r="AT152" s="647"/>
      <c r="AU152" s="647"/>
      <c r="AV152" s="647"/>
      <c r="AW152" s="647"/>
      <c r="AX152" s="647"/>
      <c r="AY152" s="647"/>
      <c r="AZ152" s="647"/>
      <c r="BA152" s="647"/>
      <c r="BB152" s="647"/>
      <c r="BC152" s="647"/>
      <c r="BD152" s="647"/>
      <c r="BE152" s="647"/>
      <c r="BF152" s="647"/>
      <c r="BG152" s="647"/>
      <c r="BH152" s="647"/>
      <c r="BI152" s="647"/>
      <c r="BJ152" s="647"/>
      <c r="BK152" s="647"/>
      <c r="BL152" s="647"/>
      <c r="BM152" s="647"/>
      <c r="BN152" s="647"/>
      <c r="BO152" s="647"/>
      <c r="BP152" s="647"/>
      <c r="BQ152" s="647"/>
      <c r="BR152" s="647"/>
      <c r="BS152" s="647"/>
      <c r="BT152" s="647"/>
      <c r="BU152" s="647"/>
      <c r="BV152" s="647"/>
      <c r="BW152" s="647"/>
      <c r="BX152" s="647"/>
      <c r="BY152" s="647"/>
      <c r="BZ152" s="647"/>
      <c r="CA152" s="647"/>
      <c r="CB152" s="647"/>
      <c r="CC152" s="647"/>
      <c r="CD152" s="647"/>
      <c r="CE152" s="647"/>
      <c r="CF152" s="647"/>
      <c r="CG152" s="647"/>
      <c r="CH152" s="647"/>
      <c r="CI152" s="647"/>
      <c r="CJ152" s="647"/>
      <c r="CK152" s="647"/>
      <c r="CL152" s="647"/>
      <c r="CM152" s="647"/>
      <c r="CN152" s="647"/>
    </row>
    <row r="153" spans="1:92" ht="39.6" customHeight="1">
      <c r="A153" s="647"/>
      <c r="B153" s="661" t="s">
        <v>99</v>
      </c>
      <c r="C153" s="661" t="s">
        <v>65</v>
      </c>
      <c r="D153" s="661" t="s">
        <v>1065</v>
      </c>
      <c r="E153" s="662" t="s">
        <v>1066</v>
      </c>
      <c r="F153" s="661" t="s">
        <v>1065</v>
      </c>
      <c r="G153" s="661" t="s">
        <v>1066</v>
      </c>
      <c r="H153" s="647"/>
      <c r="I153" s="647"/>
      <c r="J153" s="647"/>
      <c r="K153" s="647"/>
      <c r="L153" s="647"/>
      <c r="M153" s="647"/>
      <c r="N153" s="647"/>
      <c r="O153" s="647"/>
      <c r="P153" s="647"/>
      <c r="Q153" s="647"/>
      <c r="R153" s="647"/>
      <c r="S153" s="647"/>
      <c r="T153" s="647"/>
      <c r="U153" s="647"/>
      <c r="V153" s="647"/>
      <c r="W153" s="647"/>
      <c r="X153" s="647"/>
      <c r="Y153" s="647"/>
      <c r="Z153" s="647"/>
      <c r="AA153" s="647"/>
      <c r="AB153" s="647"/>
      <c r="AC153" s="647"/>
      <c r="AD153" s="647"/>
      <c r="AE153" s="647"/>
      <c r="AF153" s="647"/>
      <c r="AG153" s="647"/>
      <c r="AH153" s="647"/>
      <c r="AI153" s="647"/>
      <c r="AJ153" s="647"/>
      <c r="AK153" s="647"/>
      <c r="AL153" s="647"/>
      <c r="AM153" s="647"/>
      <c r="AN153" s="647"/>
      <c r="AO153" s="647"/>
      <c r="AP153" s="647"/>
      <c r="AQ153" s="647"/>
      <c r="AR153" s="647"/>
      <c r="AS153" s="647"/>
      <c r="AT153" s="647"/>
      <c r="AU153" s="647"/>
      <c r="AV153" s="647"/>
      <c r="AW153" s="647"/>
      <c r="AX153" s="647"/>
      <c r="AY153" s="647"/>
      <c r="AZ153" s="647"/>
      <c r="BA153" s="647"/>
      <c r="BB153" s="647"/>
      <c r="BC153" s="647"/>
      <c r="BD153" s="647"/>
      <c r="BE153" s="647"/>
      <c r="BF153" s="647"/>
      <c r="BG153" s="647"/>
      <c r="BH153" s="647"/>
      <c r="BI153" s="647"/>
      <c r="BJ153" s="647"/>
      <c r="BK153" s="647"/>
      <c r="BL153" s="647"/>
      <c r="BM153" s="647"/>
      <c r="BN153" s="647"/>
      <c r="BO153" s="647"/>
      <c r="BP153" s="647"/>
      <c r="BQ153" s="647"/>
      <c r="BR153" s="647"/>
      <c r="BS153" s="647"/>
      <c r="BT153" s="647"/>
      <c r="BU153" s="647"/>
      <c r="BV153" s="647"/>
      <c r="BW153" s="647"/>
      <c r="BX153" s="647"/>
      <c r="BY153" s="647"/>
      <c r="BZ153" s="647"/>
      <c r="CA153" s="647"/>
      <c r="CB153" s="647"/>
      <c r="CC153" s="647"/>
      <c r="CD153" s="647"/>
      <c r="CE153" s="647"/>
      <c r="CF153" s="647"/>
      <c r="CG153" s="647"/>
      <c r="CH153" s="647"/>
      <c r="CI153" s="647"/>
      <c r="CJ153" s="647"/>
      <c r="CK153" s="647"/>
      <c r="CL153" s="647"/>
      <c r="CM153" s="647"/>
      <c r="CN153" s="647"/>
    </row>
    <row r="154" spans="1:92" ht="24">
      <c r="A154" s="647"/>
      <c r="B154" s="663" t="s">
        <v>1003</v>
      </c>
      <c r="C154" s="677" t="s">
        <v>666</v>
      </c>
      <c r="D154" s="664" t="s">
        <v>1063</v>
      </c>
      <c r="E154" s="665">
        <v>3705071580</v>
      </c>
      <c r="F154" s="664" t="s">
        <v>1063</v>
      </c>
      <c r="G154" s="664">
        <v>3701734295</v>
      </c>
      <c r="H154" s="647"/>
      <c r="I154" s="647"/>
      <c r="J154" s="647"/>
      <c r="K154" s="647"/>
      <c r="L154" s="647"/>
      <c r="M154" s="647"/>
      <c r="N154" s="647"/>
      <c r="O154" s="647"/>
      <c r="P154" s="647"/>
      <c r="Q154" s="647"/>
      <c r="R154" s="647"/>
      <c r="S154" s="647"/>
      <c r="T154" s="647"/>
      <c r="U154" s="647"/>
      <c r="V154" s="647"/>
      <c r="W154" s="647"/>
      <c r="X154" s="647"/>
      <c r="Y154" s="647"/>
      <c r="Z154" s="647"/>
      <c r="AA154" s="647"/>
      <c r="AB154" s="647"/>
      <c r="AC154" s="647"/>
      <c r="AD154" s="647"/>
      <c r="AE154" s="647"/>
      <c r="AF154" s="647"/>
      <c r="AG154" s="647"/>
      <c r="AH154" s="647"/>
      <c r="AI154" s="647"/>
      <c r="AJ154" s="647"/>
      <c r="AK154" s="647"/>
      <c r="AL154" s="647"/>
      <c r="AM154" s="647"/>
      <c r="AN154" s="647"/>
      <c r="AO154" s="647"/>
      <c r="AP154" s="647"/>
      <c r="AQ154" s="647"/>
      <c r="AR154" s="647"/>
      <c r="AS154" s="647"/>
      <c r="AT154" s="647"/>
      <c r="AU154" s="647"/>
      <c r="AV154" s="647"/>
      <c r="AW154" s="647"/>
      <c r="AX154" s="647"/>
      <c r="AY154" s="647"/>
      <c r="AZ154" s="647"/>
      <c r="BA154" s="647"/>
      <c r="BB154" s="647"/>
      <c r="BC154" s="647"/>
      <c r="BD154" s="647"/>
      <c r="BE154" s="647"/>
      <c r="BF154" s="647"/>
      <c r="BG154" s="647"/>
      <c r="BH154" s="647"/>
      <c r="BI154" s="647"/>
      <c r="BJ154" s="647"/>
      <c r="BK154" s="647"/>
      <c r="BL154" s="647"/>
      <c r="BM154" s="647"/>
      <c r="BN154" s="647"/>
      <c r="BO154" s="647"/>
      <c r="BP154" s="647"/>
      <c r="BQ154" s="647"/>
      <c r="BR154" s="647"/>
      <c r="BS154" s="647"/>
      <c r="BT154" s="647"/>
      <c r="BU154" s="647"/>
      <c r="BV154" s="647"/>
      <c r="BW154" s="647"/>
      <c r="BX154" s="647"/>
      <c r="BY154" s="647"/>
      <c r="BZ154" s="647"/>
      <c r="CA154" s="647"/>
      <c r="CB154" s="647"/>
      <c r="CC154" s="647"/>
      <c r="CD154" s="647"/>
      <c r="CE154" s="647"/>
      <c r="CF154" s="647"/>
      <c r="CG154" s="647"/>
      <c r="CH154" s="647"/>
      <c r="CI154" s="647"/>
      <c r="CJ154" s="647"/>
      <c r="CK154" s="647"/>
      <c r="CL154" s="647"/>
      <c r="CM154" s="647"/>
      <c r="CN154" s="647"/>
    </row>
    <row r="155" spans="1:92">
      <c r="A155" s="647"/>
      <c r="B155" s="663" t="s">
        <v>1007</v>
      </c>
      <c r="C155" s="666" t="s">
        <v>95</v>
      </c>
      <c r="D155" s="664" t="s">
        <v>1063</v>
      </c>
      <c r="E155" s="665">
        <f>SUM(E154)</f>
        <v>3705071580</v>
      </c>
      <c r="F155" s="664" t="s">
        <v>1063</v>
      </c>
      <c r="G155" s="664">
        <f>SUM(G154:G154)</f>
        <v>3701734295</v>
      </c>
      <c r="H155" s="647"/>
      <c r="I155" s="647"/>
      <c r="J155" s="647"/>
      <c r="K155" s="647"/>
      <c r="L155" s="647"/>
      <c r="M155" s="647"/>
      <c r="N155" s="647"/>
      <c r="O155" s="647"/>
      <c r="P155" s="647"/>
      <c r="Q155" s="647"/>
      <c r="R155" s="647"/>
      <c r="S155" s="647"/>
      <c r="T155" s="647"/>
      <c r="U155" s="647"/>
      <c r="V155" s="647"/>
      <c r="W155" s="647"/>
      <c r="X155" s="647"/>
      <c r="Y155" s="647"/>
      <c r="Z155" s="647"/>
      <c r="AA155" s="647"/>
      <c r="AB155" s="647"/>
      <c r="AC155" s="647"/>
      <c r="AD155" s="647"/>
      <c r="AE155" s="647"/>
      <c r="AF155" s="647"/>
      <c r="AG155" s="647"/>
      <c r="AH155" s="647"/>
      <c r="AI155" s="647"/>
      <c r="AJ155" s="647"/>
      <c r="AK155" s="647"/>
      <c r="AL155" s="647"/>
      <c r="AM155" s="647"/>
      <c r="AN155" s="647"/>
      <c r="AO155" s="647"/>
      <c r="AP155" s="647"/>
      <c r="AQ155" s="647"/>
      <c r="AR155" s="647"/>
      <c r="AS155" s="647"/>
      <c r="AT155" s="647"/>
      <c r="AU155" s="647"/>
      <c r="AV155" s="647"/>
      <c r="AW155" s="647"/>
      <c r="AX155" s="647"/>
      <c r="AY155" s="647"/>
      <c r="AZ155" s="647"/>
      <c r="BA155" s="647"/>
      <c r="BB155" s="647"/>
      <c r="BC155" s="647"/>
      <c r="BD155" s="647"/>
      <c r="BE155" s="647"/>
      <c r="BF155" s="647"/>
      <c r="BG155" s="647"/>
      <c r="BH155" s="647"/>
      <c r="BI155" s="647"/>
      <c r="BJ155" s="647"/>
      <c r="BK155" s="647"/>
      <c r="BL155" s="647"/>
      <c r="BM155" s="647"/>
      <c r="BN155" s="647"/>
      <c r="BO155" s="647"/>
      <c r="BP155" s="647"/>
      <c r="BQ155" s="647"/>
      <c r="BR155" s="647"/>
      <c r="BS155" s="647"/>
      <c r="BT155" s="647"/>
      <c r="BU155" s="647"/>
      <c r="BV155" s="647"/>
      <c r="BW155" s="647"/>
      <c r="BX155" s="647"/>
      <c r="BY155" s="647"/>
      <c r="BZ155" s="647"/>
      <c r="CA155" s="647"/>
      <c r="CB155" s="647"/>
      <c r="CC155" s="647"/>
      <c r="CD155" s="647"/>
      <c r="CE155" s="647"/>
      <c r="CF155" s="647"/>
      <c r="CG155" s="647"/>
      <c r="CH155" s="647"/>
      <c r="CI155" s="647"/>
      <c r="CJ155" s="647"/>
      <c r="CK155" s="647"/>
      <c r="CL155" s="647"/>
      <c r="CM155" s="647"/>
      <c r="CN155" s="647"/>
    </row>
    <row r="156" spans="1:92">
      <c r="A156" s="646" t="s">
        <v>1001</v>
      </c>
      <c r="B156" s="647"/>
      <c r="C156" s="647"/>
      <c r="D156" s="647"/>
      <c r="F156" s="647"/>
      <c r="G156" s="647"/>
      <c r="H156" s="647"/>
      <c r="I156" s="647"/>
      <c r="J156" s="647"/>
      <c r="K156" s="647"/>
      <c r="L156" s="647"/>
      <c r="M156" s="647"/>
      <c r="N156" s="647"/>
      <c r="O156" s="647"/>
      <c r="P156" s="647"/>
      <c r="Q156" s="647"/>
      <c r="R156" s="647"/>
      <c r="S156" s="647"/>
      <c r="T156" s="647"/>
      <c r="U156" s="647"/>
      <c r="V156" s="647"/>
      <c r="W156" s="647"/>
      <c r="X156" s="647"/>
      <c r="Y156" s="647"/>
      <c r="Z156" s="647"/>
      <c r="AA156" s="647"/>
      <c r="AB156" s="647"/>
      <c r="AC156" s="647"/>
      <c r="AD156" s="647"/>
      <c r="AE156" s="647"/>
      <c r="AF156" s="647"/>
      <c r="AG156" s="647"/>
      <c r="AH156" s="647"/>
      <c r="AI156" s="647"/>
      <c r="AJ156" s="647"/>
      <c r="AK156" s="647"/>
      <c r="AL156" s="647"/>
      <c r="AM156" s="647"/>
      <c r="AN156" s="647"/>
      <c r="AO156" s="647"/>
      <c r="AP156" s="647"/>
      <c r="AQ156" s="647"/>
      <c r="AR156" s="647"/>
      <c r="AS156" s="647"/>
      <c r="AT156" s="647"/>
      <c r="AU156" s="647"/>
      <c r="AV156" s="647"/>
      <c r="AW156" s="647"/>
      <c r="AX156" s="647"/>
      <c r="AY156" s="647"/>
      <c r="AZ156" s="647"/>
      <c r="BA156" s="647"/>
      <c r="BB156" s="647"/>
      <c r="BC156" s="647"/>
      <c r="BD156" s="647"/>
      <c r="BE156" s="647"/>
      <c r="BF156" s="647"/>
      <c r="BG156" s="647"/>
      <c r="BH156" s="647"/>
      <c r="BI156" s="647"/>
      <c r="BJ156" s="647"/>
      <c r="BK156" s="647"/>
      <c r="BL156" s="647"/>
      <c r="BM156" s="647"/>
      <c r="BN156" s="647"/>
      <c r="BO156" s="647"/>
      <c r="BP156" s="647"/>
      <c r="BQ156" s="647"/>
      <c r="BR156" s="647"/>
      <c r="BS156" s="647"/>
      <c r="BT156" s="647"/>
      <c r="BU156" s="647"/>
      <c r="BV156" s="647"/>
      <c r="BW156" s="647"/>
      <c r="BX156" s="647"/>
      <c r="BY156" s="647"/>
      <c r="BZ156" s="647"/>
      <c r="CA156" s="647"/>
      <c r="CB156" s="647"/>
      <c r="CC156" s="647"/>
      <c r="CD156" s="647"/>
      <c r="CE156" s="647"/>
      <c r="CF156" s="647"/>
      <c r="CG156" s="647"/>
      <c r="CH156" s="647"/>
      <c r="CI156" s="647"/>
      <c r="CJ156" s="647"/>
      <c r="CK156" s="647"/>
      <c r="CL156" s="647"/>
      <c r="CM156" s="647"/>
      <c r="CN156" s="647"/>
    </row>
    <row r="157" spans="1:92">
      <c r="A157" s="647"/>
      <c r="B157" s="646" t="s">
        <v>1067</v>
      </c>
      <c r="C157" s="647"/>
      <c r="D157" s="647"/>
      <c r="F157" s="647"/>
      <c r="G157" s="647"/>
      <c r="H157" s="647"/>
      <c r="I157" s="647"/>
      <c r="J157" s="647"/>
      <c r="K157" s="647"/>
      <c r="L157" s="647"/>
      <c r="M157" s="647"/>
      <c r="N157" s="647"/>
      <c r="O157" s="647"/>
      <c r="P157" s="647"/>
      <c r="Q157" s="647"/>
      <c r="R157" s="647"/>
      <c r="S157" s="647"/>
      <c r="T157" s="647"/>
      <c r="U157" s="647"/>
      <c r="V157" s="647"/>
      <c r="W157" s="647"/>
      <c r="X157" s="647"/>
      <c r="Y157" s="647"/>
      <c r="Z157" s="647"/>
      <c r="AA157" s="647"/>
      <c r="AB157" s="647"/>
      <c r="AC157" s="647"/>
      <c r="AD157" s="647"/>
      <c r="AE157" s="647"/>
      <c r="AF157" s="647"/>
      <c r="AG157" s="647"/>
      <c r="AH157" s="647"/>
      <c r="AI157" s="647"/>
      <c r="AJ157" s="647"/>
      <c r="AK157" s="647"/>
      <c r="AL157" s="647"/>
      <c r="AM157" s="647"/>
      <c r="AN157" s="647"/>
      <c r="AO157" s="647"/>
      <c r="AP157" s="647"/>
      <c r="AQ157" s="647"/>
      <c r="AR157" s="647"/>
      <c r="AS157" s="647"/>
      <c r="AT157" s="647"/>
      <c r="AU157" s="647"/>
      <c r="AV157" s="647"/>
      <c r="AW157" s="647"/>
      <c r="AX157" s="647"/>
      <c r="AY157" s="647"/>
      <c r="AZ157" s="647"/>
      <c r="BA157" s="647"/>
      <c r="BB157" s="647"/>
      <c r="BC157" s="647"/>
      <c r="BD157" s="647"/>
      <c r="BE157" s="647"/>
      <c r="BF157" s="647"/>
      <c r="BG157" s="647"/>
      <c r="BH157" s="647"/>
      <c r="BI157" s="647"/>
      <c r="BJ157" s="647"/>
      <c r="BK157" s="647"/>
      <c r="BL157" s="647"/>
      <c r="BM157" s="647"/>
      <c r="BN157" s="647"/>
      <c r="BO157" s="647"/>
      <c r="BP157" s="647"/>
      <c r="BQ157" s="647"/>
      <c r="BR157" s="647"/>
      <c r="BS157" s="647"/>
      <c r="BT157" s="647"/>
      <c r="BU157" s="647"/>
      <c r="BV157" s="647"/>
      <c r="BW157" s="647"/>
      <c r="BX157" s="647"/>
      <c r="BY157" s="647"/>
      <c r="BZ157" s="647"/>
      <c r="CA157" s="647"/>
      <c r="CB157" s="647"/>
      <c r="CC157" s="647"/>
      <c r="CD157" s="647"/>
      <c r="CE157" s="647"/>
      <c r="CF157" s="647"/>
      <c r="CG157" s="647"/>
      <c r="CH157" s="647"/>
      <c r="CI157" s="647"/>
      <c r="CJ157" s="647"/>
      <c r="CK157" s="647"/>
      <c r="CL157" s="647"/>
      <c r="CM157" s="647"/>
      <c r="CN157" s="647"/>
    </row>
    <row r="158" spans="1:92">
      <c r="A158" s="647"/>
      <c r="B158" s="647"/>
      <c r="C158" s="647"/>
      <c r="D158" s="647"/>
      <c r="E158" s="649"/>
      <c r="F158" s="647"/>
      <c r="G158" s="647"/>
      <c r="H158" s="647"/>
      <c r="I158" s="647"/>
      <c r="J158" s="647"/>
      <c r="K158" s="647"/>
      <c r="L158" s="647"/>
      <c r="M158" s="647"/>
      <c r="N158" s="647"/>
      <c r="O158" s="647"/>
      <c r="P158" s="647"/>
      <c r="Q158" s="647"/>
      <c r="R158" s="647"/>
      <c r="S158" s="647"/>
      <c r="T158" s="647"/>
      <c r="U158" s="647"/>
      <c r="V158" s="647"/>
      <c r="W158" s="647"/>
      <c r="X158" s="647"/>
      <c r="Y158" s="647"/>
      <c r="Z158" s="647"/>
      <c r="AA158" s="647"/>
      <c r="AB158" s="647"/>
      <c r="AC158" s="647"/>
      <c r="AD158" s="647"/>
      <c r="AE158" s="647"/>
      <c r="AF158" s="647"/>
      <c r="AG158" s="647"/>
      <c r="AH158" s="647"/>
      <c r="AI158" s="647"/>
      <c r="AJ158" s="647"/>
      <c r="AK158" s="647"/>
      <c r="AL158" s="647"/>
      <c r="AM158" s="647"/>
      <c r="AN158" s="647"/>
      <c r="AO158" s="647"/>
      <c r="AP158" s="647"/>
      <c r="AQ158" s="647"/>
      <c r="AR158" s="647"/>
      <c r="AS158" s="647"/>
      <c r="AT158" s="647"/>
      <c r="AU158" s="647"/>
      <c r="AV158" s="647"/>
      <c r="AW158" s="647"/>
      <c r="AX158" s="647"/>
      <c r="AY158" s="647"/>
      <c r="AZ158" s="647"/>
      <c r="BA158" s="647"/>
      <c r="BB158" s="647"/>
      <c r="BC158" s="647"/>
      <c r="BD158" s="647"/>
      <c r="BE158" s="647"/>
      <c r="BF158" s="647"/>
      <c r="BG158" s="647"/>
      <c r="BH158" s="647"/>
      <c r="BI158" s="647"/>
      <c r="BJ158" s="647"/>
      <c r="BK158" s="647"/>
      <c r="BL158" s="647"/>
      <c r="BM158" s="647"/>
      <c r="BN158" s="647"/>
      <c r="BO158" s="647"/>
      <c r="BP158" s="647"/>
      <c r="BQ158" s="647"/>
      <c r="BR158" s="647"/>
      <c r="BS158" s="647"/>
      <c r="BT158" s="647"/>
      <c r="BU158" s="647"/>
      <c r="BV158" s="647"/>
      <c r="BW158" s="647"/>
      <c r="BX158" s="647"/>
      <c r="BY158" s="647"/>
      <c r="BZ158" s="647"/>
      <c r="CA158" s="647"/>
      <c r="CB158" s="647"/>
      <c r="CC158" s="647"/>
      <c r="CD158" s="647"/>
      <c r="CE158" s="647"/>
      <c r="CF158" s="647"/>
      <c r="CG158" s="647"/>
      <c r="CH158" s="647"/>
      <c r="CI158" s="647"/>
      <c r="CJ158" s="647"/>
      <c r="CK158" s="647"/>
      <c r="CL158" s="647"/>
      <c r="CM158" s="647"/>
      <c r="CN158" s="647"/>
    </row>
    <row r="159" spans="1:92" ht="24">
      <c r="A159" s="647"/>
      <c r="B159" s="661" t="s">
        <v>99</v>
      </c>
      <c r="C159" s="661" t="s">
        <v>65</v>
      </c>
      <c r="D159" s="661" t="s">
        <v>2</v>
      </c>
      <c r="E159" s="662" t="s">
        <v>2</v>
      </c>
      <c r="F159" s="647"/>
      <c r="G159" s="647"/>
      <c r="H159" s="647"/>
      <c r="I159" s="647"/>
      <c r="J159" s="647"/>
      <c r="K159" s="647"/>
      <c r="L159" s="647"/>
      <c r="M159" s="647"/>
      <c r="N159" s="647"/>
      <c r="O159" s="647"/>
      <c r="P159" s="647"/>
      <c r="Q159" s="647"/>
      <c r="R159" s="647"/>
      <c r="S159" s="647"/>
      <c r="T159" s="647"/>
      <c r="U159" s="647"/>
      <c r="V159" s="647"/>
      <c r="W159" s="647"/>
      <c r="X159" s="647"/>
      <c r="Y159" s="647"/>
      <c r="Z159" s="647"/>
      <c r="AA159" s="647"/>
      <c r="AB159" s="647"/>
      <c r="AC159" s="647"/>
      <c r="AD159" s="647"/>
      <c r="AE159" s="647"/>
      <c r="AF159" s="647"/>
      <c r="AG159" s="647"/>
      <c r="AH159" s="647"/>
      <c r="AI159" s="647"/>
      <c r="AJ159" s="647"/>
      <c r="AK159" s="647"/>
      <c r="AL159" s="647"/>
      <c r="AM159" s="647"/>
      <c r="AN159" s="647"/>
      <c r="AO159" s="647"/>
      <c r="AP159" s="647"/>
      <c r="AQ159" s="647"/>
      <c r="AR159" s="647"/>
      <c r="AS159" s="647"/>
      <c r="AT159" s="647"/>
      <c r="AU159" s="647"/>
      <c r="AV159" s="647"/>
      <c r="AW159" s="647"/>
      <c r="AX159" s="647"/>
      <c r="AY159" s="647"/>
      <c r="AZ159" s="647"/>
      <c r="BA159" s="647"/>
      <c r="BB159" s="647"/>
      <c r="BC159" s="647"/>
      <c r="BD159" s="647"/>
      <c r="BE159" s="647"/>
      <c r="BF159" s="647"/>
      <c r="BG159" s="647"/>
      <c r="BH159" s="647"/>
      <c r="BI159" s="647"/>
      <c r="BJ159" s="647"/>
      <c r="BK159" s="647"/>
      <c r="BL159" s="647"/>
      <c r="BM159" s="647"/>
      <c r="BN159" s="647"/>
      <c r="BO159" s="647"/>
      <c r="BP159" s="647"/>
      <c r="BQ159" s="647"/>
      <c r="BR159" s="647"/>
      <c r="BS159" s="647"/>
      <c r="BT159" s="647"/>
      <c r="BU159" s="647"/>
      <c r="BV159" s="647"/>
      <c r="BW159" s="647"/>
      <c r="BX159" s="647"/>
      <c r="BY159" s="647"/>
      <c r="BZ159" s="647"/>
      <c r="CA159" s="647"/>
      <c r="CB159" s="647"/>
      <c r="CC159" s="647"/>
      <c r="CD159" s="647"/>
      <c r="CE159" s="647"/>
      <c r="CF159" s="647"/>
      <c r="CG159" s="647"/>
      <c r="CH159" s="647"/>
      <c r="CI159" s="647"/>
      <c r="CJ159" s="647"/>
      <c r="CK159" s="647"/>
      <c r="CL159" s="647"/>
      <c r="CM159" s="647"/>
      <c r="CN159" s="647"/>
    </row>
    <row r="160" spans="1:92">
      <c r="A160" s="647"/>
      <c r="B160" s="663" t="s">
        <v>1003</v>
      </c>
      <c r="C160" s="663" t="s">
        <v>1007</v>
      </c>
      <c r="D160" s="664">
        <v>0</v>
      </c>
      <c r="E160" s="665">
        <v>0</v>
      </c>
      <c r="F160" s="647"/>
      <c r="G160" s="647"/>
      <c r="H160" s="647"/>
      <c r="I160" s="647"/>
      <c r="J160" s="647"/>
      <c r="K160" s="647"/>
      <c r="L160" s="647"/>
      <c r="M160" s="647"/>
      <c r="N160" s="647"/>
      <c r="O160" s="647"/>
      <c r="P160" s="647"/>
      <c r="Q160" s="647"/>
      <c r="R160" s="647"/>
      <c r="S160" s="647"/>
      <c r="T160" s="647"/>
      <c r="U160" s="647"/>
      <c r="V160" s="647"/>
      <c r="W160" s="647"/>
      <c r="X160" s="647"/>
      <c r="Y160" s="647"/>
      <c r="Z160" s="647"/>
      <c r="AA160" s="647"/>
      <c r="AB160" s="647"/>
      <c r="AC160" s="647"/>
      <c r="AD160" s="647"/>
      <c r="AE160" s="647"/>
      <c r="AF160" s="647"/>
      <c r="AG160" s="647"/>
      <c r="AH160" s="647"/>
      <c r="AI160" s="647"/>
      <c r="AJ160" s="647"/>
      <c r="AK160" s="647"/>
      <c r="AL160" s="647"/>
      <c r="AM160" s="647"/>
      <c r="AN160" s="647"/>
      <c r="AO160" s="647"/>
      <c r="AP160" s="647"/>
      <c r="AQ160" s="647"/>
      <c r="AR160" s="647"/>
      <c r="AS160" s="647"/>
      <c r="AT160" s="647"/>
      <c r="AU160" s="647"/>
      <c r="AV160" s="647"/>
      <c r="AW160" s="647"/>
      <c r="AX160" s="647"/>
      <c r="AY160" s="647"/>
      <c r="AZ160" s="647"/>
      <c r="BA160" s="647"/>
      <c r="BB160" s="647"/>
      <c r="BC160" s="647"/>
      <c r="BD160" s="647"/>
      <c r="BE160" s="647"/>
      <c r="BF160" s="647"/>
      <c r="BG160" s="647"/>
      <c r="BH160" s="647"/>
      <c r="BI160" s="647"/>
      <c r="BJ160" s="647"/>
      <c r="BK160" s="647"/>
      <c r="BL160" s="647"/>
      <c r="BM160" s="647"/>
      <c r="BN160" s="647"/>
      <c r="BO160" s="647"/>
      <c r="BP160" s="647"/>
      <c r="BQ160" s="647"/>
      <c r="BR160" s="647"/>
      <c r="BS160" s="647"/>
      <c r="BT160" s="647"/>
      <c r="BU160" s="647"/>
      <c r="BV160" s="647"/>
      <c r="BW160" s="647"/>
      <c r="BX160" s="647"/>
      <c r="BY160" s="647"/>
      <c r="BZ160" s="647"/>
      <c r="CA160" s="647"/>
      <c r="CB160" s="647"/>
      <c r="CC160" s="647"/>
      <c r="CD160" s="647"/>
      <c r="CE160" s="647"/>
      <c r="CF160" s="647"/>
      <c r="CG160" s="647"/>
      <c r="CH160" s="647"/>
      <c r="CI160" s="647"/>
      <c r="CJ160" s="647"/>
      <c r="CK160" s="647"/>
      <c r="CL160" s="647"/>
      <c r="CM160" s="647"/>
      <c r="CN160" s="647"/>
    </row>
    <row r="161" spans="1:92">
      <c r="A161" s="647"/>
      <c r="B161" s="663" t="s">
        <v>1007</v>
      </c>
      <c r="C161" s="666" t="s">
        <v>95</v>
      </c>
      <c r="D161" s="664">
        <v>0</v>
      </c>
      <c r="E161" s="665">
        <v>0</v>
      </c>
      <c r="F161" s="647"/>
      <c r="G161" s="647"/>
      <c r="H161" s="647"/>
      <c r="I161" s="647"/>
      <c r="J161" s="647"/>
      <c r="K161" s="647"/>
      <c r="L161" s="647"/>
      <c r="M161" s="647"/>
      <c r="N161" s="647"/>
      <c r="O161" s="647"/>
      <c r="P161" s="647"/>
      <c r="Q161" s="647"/>
      <c r="R161" s="647"/>
      <c r="S161" s="647"/>
      <c r="T161" s="647"/>
      <c r="U161" s="647"/>
      <c r="V161" s="647"/>
      <c r="W161" s="647"/>
      <c r="X161" s="647"/>
      <c r="Y161" s="647"/>
      <c r="Z161" s="647"/>
      <c r="AA161" s="647"/>
      <c r="AB161" s="647"/>
      <c r="AC161" s="647"/>
      <c r="AD161" s="647"/>
      <c r="AE161" s="647"/>
      <c r="AF161" s="647"/>
      <c r="AG161" s="647"/>
      <c r="AH161" s="647"/>
      <c r="AI161" s="647"/>
      <c r="AJ161" s="647"/>
      <c r="AK161" s="647"/>
      <c r="AL161" s="647"/>
      <c r="AM161" s="647"/>
      <c r="AN161" s="647"/>
      <c r="AO161" s="647"/>
      <c r="AP161" s="647"/>
      <c r="AQ161" s="647"/>
      <c r="AR161" s="647"/>
      <c r="AS161" s="647"/>
      <c r="AT161" s="647"/>
      <c r="AU161" s="647"/>
      <c r="AV161" s="647"/>
      <c r="AW161" s="647"/>
      <c r="AX161" s="647"/>
      <c r="AY161" s="647"/>
      <c r="AZ161" s="647"/>
      <c r="BA161" s="647"/>
      <c r="BB161" s="647"/>
      <c r="BC161" s="647"/>
      <c r="BD161" s="647"/>
      <c r="BE161" s="647"/>
      <c r="BF161" s="647"/>
      <c r="BG161" s="647"/>
      <c r="BH161" s="647"/>
      <c r="BI161" s="647"/>
      <c r="BJ161" s="647"/>
      <c r="BK161" s="647"/>
      <c r="BL161" s="647"/>
      <c r="BM161" s="647"/>
      <c r="BN161" s="647"/>
      <c r="BO161" s="647"/>
      <c r="BP161" s="647"/>
      <c r="BQ161" s="647"/>
      <c r="BR161" s="647"/>
      <c r="BS161" s="647"/>
      <c r="BT161" s="647"/>
      <c r="BU161" s="647"/>
      <c r="BV161" s="647"/>
      <c r="BW161" s="647"/>
      <c r="BX161" s="647"/>
      <c r="BY161" s="647"/>
      <c r="BZ161" s="647"/>
      <c r="CA161" s="647"/>
      <c r="CB161" s="647"/>
      <c r="CC161" s="647"/>
      <c r="CD161" s="647"/>
      <c r="CE161" s="647"/>
      <c r="CF161" s="647"/>
      <c r="CG161" s="647"/>
      <c r="CH161" s="647"/>
      <c r="CI161" s="647"/>
      <c r="CJ161" s="647"/>
      <c r="CK161" s="647"/>
      <c r="CL161" s="647"/>
      <c r="CM161" s="647"/>
      <c r="CN161" s="647"/>
    </row>
    <row r="162" spans="1:92">
      <c r="A162" s="647"/>
      <c r="B162" s="646" t="s">
        <v>1032</v>
      </c>
      <c r="C162" s="647"/>
      <c r="D162" s="647"/>
      <c r="F162" s="647"/>
      <c r="G162" s="647"/>
      <c r="H162" s="647"/>
      <c r="I162" s="647"/>
      <c r="J162" s="647"/>
      <c r="K162" s="647"/>
      <c r="L162" s="647"/>
      <c r="M162" s="647"/>
      <c r="N162" s="647"/>
      <c r="O162" s="647"/>
      <c r="P162" s="647"/>
      <c r="Q162" s="647"/>
      <c r="R162" s="647"/>
      <c r="S162" s="647"/>
      <c r="T162" s="647"/>
      <c r="U162" s="647"/>
      <c r="V162" s="647"/>
      <c r="W162" s="647"/>
      <c r="X162" s="647"/>
      <c r="Y162" s="647"/>
      <c r="Z162" s="647"/>
      <c r="AA162" s="647"/>
      <c r="AB162" s="647"/>
      <c r="AC162" s="647"/>
      <c r="AD162" s="647"/>
      <c r="AE162" s="647"/>
      <c r="AF162" s="647"/>
      <c r="AG162" s="647"/>
      <c r="AH162" s="647"/>
      <c r="AI162" s="647"/>
      <c r="AJ162" s="647"/>
      <c r="AK162" s="647"/>
      <c r="AL162" s="647"/>
      <c r="AM162" s="647"/>
      <c r="AN162" s="647"/>
      <c r="AO162" s="647"/>
      <c r="AP162" s="647"/>
      <c r="AQ162" s="647"/>
      <c r="AR162" s="647"/>
      <c r="AS162" s="647"/>
      <c r="AT162" s="647"/>
      <c r="AU162" s="647"/>
      <c r="AV162" s="647"/>
      <c r="AW162" s="647"/>
      <c r="AX162" s="647"/>
      <c r="AY162" s="647"/>
      <c r="AZ162" s="647"/>
      <c r="BA162" s="647"/>
      <c r="BB162" s="647"/>
      <c r="BC162" s="647"/>
      <c r="BD162" s="647"/>
      <c r="BE162" s="647"/>
      <c r="BF162" s="647"/>
      <c r="BG162" s="647"/>
      <c r="BH162" s="647"/>
      <c r="BI162" s="647"/>
      <c r="BJ162" s="647"/>
      <c r="BK162" s="647"/>
      <c r="BL162" s="647"/>
      <c r="BM162" s="647"/>
      <c r="BN162" s="647"/>
      <c r="BO162" s="647"/>
      <c r="BP162" s="647"/>
      <c r="BQ162" s="647"/>
      <c r="BR162" s="647"/>
      <c r="BS162" s="647"/>
      <c r="BT162" s="647"/>
      <c r="BU162" s="647"/>
      <c r="BV162" s="647"/>
      <c r="BW162" s="647"/>
      <c r="BX162" s="647"/>
      <c r="BY162" s="647"/>
      <c r="BZ162" s="647"/>
      <c r="CA162" s="647"/>
      <c r="CB162" s="647"/>
      <c r="CC162" s="647"/>
      <c r="CD162" s="647"/>
      <c r="CE162" s="647"/>
      <c r="CF162" s="647"/>
      <c r="CG162" s="647"/>
      <c r="CH162" s="647"/>
      <c r="CI162" s="647"/>
      <c r="CJ162" s="647"/>
      <c r="CK162" s="647"/>
      <c r="CL162" s="647"/>
      <c r="CM162" s="647"/>
      <c r="CN162" s="647"/>
    </row>
    <row r="163" spans="1:92">
      <c r="A163" s="647"/>
      <c r="B163" s="660" t="s">
        <v>1007</v>
      </c>
      <c r="C163" s="647"/>
      <c r="D163" s="647"/>
      <c r="F163" s="647"/>
      <c r="G163" s="647"/>
      <c r="H163" s="647"/>
      <c r="I163" s="647"/>
      <c r="J163" s="647"/>
      <c r="K163" s="647"/>
      <c r="L163" s="647"/>
      <c r="M163" s="647"/>
      <c r="N163" s="647"/>
      <c r="O163" s="647"/>
      <c r="P163" s="647"/>
      <c r="Q163" s="647"/>
      <c r="R163" s="647"/>
      <c r="S163" s="647"/>
      <c r="T163" s="647"/>
      <c r="U163" s="647"/>
      <c r="V163" s="647"/>
      <c r="W163" s="647"/>
      <c r="X163" s="647"/>
      <c r="Y163" s="647"/>
      <c r="Z163" s="647"/>
      <c r="AA163" s="647"/>
      <c r="AB163" s="647"/>
      <c r="AC163" s="647"/>
      <c r="AD163" s="647"/>
      <c r="AE163" s="647"/>
      <c r="AF163" s="647"/>
      <c r="AG163" s="647"/>
      <c r="AH163" s="647"/>
      <c r="AI163" s="647"/>
      <c r="AJ163" s="647"/>
      <c r="AK163" s="647"/>
      <c r="AL163" s="647"/>
      <c r="AM163" s="647"/>
      <c r="AN163" s="647"/>
      <c r="AO163" s="647"/>
      <c r="AP163" s="647"/>
      <c r="AQ163" s="647"/>
      <c r="AR163" s="647"/>
      <c r="AS163" s="647"/>
      <c r="AT163" s="647"/>
      <c r="AU163" s="647"/>
      <c r="AV163" s="647"/>
      <c r="AW163" s="647"/>
      <c r="AX163" s="647"/>
      <c r="AY163" s="647"/>
      <c r="AZ163" s="647"/>
      <c r="BA163" s="647"/>
      <c r="BB163" s="647"/>
      <c r="BC163" s="647"/>
      <c r="BD163" s="647"/>
      <c r="BE163" s="647"/>
      <c r="BF163" s="647"/>
      <c r="BG163" s="647"/>
      <c r="BH163" s="647"/>
      <c r="BI163" s="647"/>
      <c r="BJ163" s="647"/>
      <c r="BK163" s="647"/>
      <c r="BL163" s="647"/>
      <c r="BM163" s="647"/>
      <c r="BN163" s="647"/>
      <c r="BO163" s="647"/>
      <c r="BP163" s="647"/>
      <c r="BQ163" s="647"/>
      <c r="BR163" s="647"/>
      <c r="BS163" s="647"/>
      <c r="BT163" s="647"/>
      <c r="BU163" s="647"/>
      <c r="BV163" s="647"/>
      <c r="BW163" s="647"/>
      <c r="BX163" s="647"/>
      <c r="BY163" s="647"/>
      <c r="BZ163" s="647"/>
      <c r="CA163" s="647"/>
      <c r="CB163" s="647"/>
      <c r="CC163" s="647"/>
      <c r="CD163" s="647"/>
      <c r="CE163" s="647"/>
      <c r="CF163" s="647"/>
      <c r="CG163" s="647"/>
      <c r="CH163" s="647"/>
      <c r="CI163" s="647"/>
      <c r="CJ163" s="647"/>
      <c r="CK163" s="647"/>
      <c r="CL163" s="647"/>
      <c r="CM163" s="647"/>
      <c r="CN163" s="647"/>
    </row>
    <row r="164" spans="1:92">
      <c r="A164" s="647" t="s">
        <v>1007</v>
      </c>
      <c r="B164" s="647" t="s">
        <v>1007</v>
      </c>
      <c r="C164" s="647" t="s">
        <v>1007</v>
      </c>
      <c r="D164" s="647" t="s">
        <v>1007</v>
      </c>
      <c r="F164" s="647"/>
      <c r="G164" s="647"/>
      <c r="H164" s="647"/>
      <c r="I164" s="647"/>
      <c r="J164" s="647"/>
      <c r="K164" s="647"/>
      <c r="L164" s="647"/>
      <c r="M164" s="647"/>
      <c r="N164" s="647"/>
      <c r="O164" s="647"/>
      <c r="P164" s="647"/>
      <c r="Q164" s="647"/>
      <c r="R164" s="647"/>
      <c r="S164" s="647"/>
      <c r="T164" s="647"/>
      <c r="U164" s="647"/>
      <c r="V164" s="647"/>
      <c r="W164" s="647"/>
      <c r="X164" s="647"/>
      <c r="Y164" s="647"/>
      <c r="Z164" s="647"/>
      <c r="AA164" s="647"/>
      <c r="AB164" s="647"/>
      <c r="AC164" s="647"/>
      <c r="AD164" s="647"/>
      <c r="AE164" s="647"/>
      <c r="AF164" s="647"/>
      <c r="AG164" s="647"/>
      <c r="AH164" s="647"/>
      <c r="AI164" s="647"/>
      <c r="AJ164" s="647"/>
      <c r="AK164" s="647"/>
      <c r="AL164" s="647"/>
      <c r="AM164" s="647"/>
      <c r="AN164" s="729"/>
      <c r="AO164" s="729"/>
      <c r="AP164" s="729"/>
      <c r="AQ164" s="729"/>
      <c r="AR164" s="729"/>
      <c r="AS164" s="729"/>
      <c r="AT164" s="729"/>
      <c r="AU164" s="729"/>
      <c r="AV164" s="729"/>
      <c r="AW164" s="729"/>
      <c r="AX164" s="729"/>
      <c r="AY164" s="729"/>
      <c r="AZ164" s="729"/>
      <c r="BA164" s="729"/>
      <c r="BB164" s="729"/>
      <c r="BC164" s="729"/>
      <c r="BD164" s="729"/>
      <c r="BE164" s="729"/>
      <c r="BF164" s="729"/>
      <c r="BG164" s="729"/>
      <c r="BH164" s="729"/>
      <c r="BI164" s="729"/>
      <c r="BJ164" s="729"/>
      <c r="BK164" s="729"/>
      <c r="BL164" s="729"/>
      <c r="BM164" s="729"/>
      <c r="BN164" s="729"/>
      <c r="BO164" s="729"/>
      <c r="BP164" s="729"/>
      <c r="BQ164" s="729"/>
      <c r="BR164" s="729"/>
      <c r="BS164" s="729"/>
      <c r="BT164" s="729"/>
      <c r="BU164" s="729"/>
      <c r="BV164" s="729"/>
      <c r="BW164" s="729"/>
      <c r="BX164" s="729"/>
      <c r="BY164" s="729"/>
      <c r="BZ164" s="729"/>
      <c r="CA164" s="729"/>
      <c r="CB164" s="729"/>
      <c r="CC164" s="729"/>
      <c r="CD164" s="729"/>
      <c r="CE164" s="729"/>
      <c r="CF164" s="729"/>
      <c r="CG164" s="729"/>
      <c r="CH164" s="729"/>
      <c r="CI164" s="729"/>
      <c r="CJ164" s="729"/>
      <c r="CK164" s="729"/>
      <c r="CL164" s="729"/>
      <c r="CM164" s="729"/>
      <c r="CN164" s="729"/>
    </row>
    <row r="165" spans="1:92">
      <c r="A165" s="646" t="s">
        <v>1001</v>
      </c>
      <c r="B165" s="647"/>
      <c r="C165" s="647"/>
      <c r="D165" s="647"/>
      <c r="F165" s="647"/>
      <c r="G165" s="647"/>
      <c r="H165" s="647"/>
      <c r="I165" s="647"/>
      <c r="J165" s="647"/>
      <c r="K165" s="647"/>
      <c r="L165" s="647"/>
      <c r="M165" s="647"/>
      <c r="N165" s="647"/>
      <c r="O165" s="647"/>
      <c r="P165" s="647"/>
      <c r="Q165" s="647"/>
      <c r="R165" s="647"/>
      <c r="S165" s="647"/>
      <c r="T165" s="647"/>
      <c r="U165" s="647"/>
      <c r="V165" s="647"/>
      <c r="W165" s="647"/>
      <c r="X165" s="647"/>
      <c r="Y165" s="647"/>
      <c r="Z165" s="647"/>
      <c r="AA165" s="647"/>
      <c r="AB165" s="647"/>
      <c r="AC165" s="647"/>
      <c r="AD165" s="647"/>
      <c r="AE165" s="647"/>
      <c r="AF165" s="647"/>
      <c r="AG165" s="647"/>
      <c r="AH165" s="647"/>
      <c r="AI165" s="647"/>
      <c r="AJ165" s="647"/>
      <c r="AK165" s="647"/>
      <c r="AL165" s="647"/>
      <c r="AM165" s="647"/>
      <c r="AN165" s="647"/>
      <c r="AO165" s="647"/>
      <c r="AP165" s="647"/>
      <c r="AQ165" s="647"/>
      <c r="AR165" s="647"/>
      <c r="AS165" s="647"/>
      <c r="AT165" s="647"/>
      <c r="AU165" s="647"/>
      <c r="AV165" s="647"/>
      <c r="AW165" s="647"/>
      <c r="AX165" s="647"/>
      <c r="AY165" s="647"/>
      <c r="AZ165" s="647"/>
      <c r="BA165" s="647"/>
      <c r="BB165" s="647"/>
      <c r="BC165" s="647"/>
      <c r="BD165" s="647"/>
      <c r="BE165" s="647"/>
      <c r="BF165" s="647"/>
      <c r="BG165" s="647"/>
      <c r="BH165" s="647"/>
      <c r="BI165" s="647"/>
      <c r="BJ165" s="647"/>
      <c r="BK165" s="647"/>
      <c r="BL165" s="647"/>
      <c r="BM165" s="647"/>
      <c r="BN165" s="647"/>
      <c r="BO165" s="647"/>
      <c r="BP165" s="647"/>
      <c r="BQ165" s="647"/>
      <c r="BR165" s="647"/>
      <c r="BS165" s="647"/>
      <c r="BT165" s="647"/>
      <c r="BU165" s="647"/>
      <c r="BV165" s="647"/>
      <c r="BW165" s="647"/>
      <c r="BX165" s="647"/>
      <c r="BY165" s="647"/>
      <c r="BZ165" s="647"/>
      <c r="CA165" s="647"/>
      <c r="CB165" s="647"/>
      <c r="CC165" s="647"/>
      <c r="CD165" s="647"/>
      <c r="CE165" s="647"/>
      <c r="CF165" s="647"/>
      <c r="CG165" s="647"/>
      <c r="CH165" s="647"/>
      <c r="CI165" s="647"/>
      <c r="CJ165" s="647"/>
      <c r="CK165" s="647"/>
      <c r="CL165" s="647"/>
      <c r="CM165" s="647"/>
      <c r="CN165" s="647"/>
    </row>
    <row r="166" spans="1:92">
      <c r="A166" s="647"/>
      <c r="B166" s="646" t="s">
        <v>1068</v>
      </c>
      <c r="C166" s="647"/>
      <c r="D166" s="647"/>
      <c r="F166" s="647"/>
      <c r="G166" s="647"/>
      <c r="H166" s="647"/>
      <c r="I166" s="647"/>
      <c r="J166" s="647"/>
      <c r="K166" s="647"/>
      <c r="L166" s="647"/>
      <c r="M166" s="647"/>
      <c r="N166" s="647"/>
      <c r="O166" s="647"/>
      <c r="P166" s="647"/>
      <c r="Q166" s="647"/>
      <c r="R166" s="647"/>
      <c r="S166" s="647"/>
      <c r="T166" s="647"/>
      <c r="U166" s="647"/>
      <c r="V166" s="647"/>
      <c r="W166" s="647"/>
      <c r="X166" s="647"/>
      <c r="Y166" s="647"/>
      <c r="Z166" s="647"/>
      <c r="AA166" s="647"/>
      <c r="AB166" s="647"/>
      <c r="AC166" s="647"/>
      <c r="AD166" s="647"/>
      <c r="AE166" s="647"/>
      <c r="AF166" s="647"/>
      <c r="AG166" s="647"/>
      <c r="AH166" s="647"/>
      <c r="AI166" s="647"/>
      <c r="AJ166" s="647"/>
      <c r="AK166" s="647"/>
      <c r="AL166" s="647"/>
      <c r="AM166" s="647"/>
      <c r="AN166" s="647"/>
      <c r="AO166" s="647"/>
      <c r="AP166" s="647"/>
      <c r="AQ166" s="647"/>
      <c r="AR166" s="647"/>
      <c r="AS166" s="647"/>
      <c r="AT166" s="647"/>
      <c r="AU166" s="647"/>
      <c r="AV166" s="647"/>
      <c r="AW166" s="647"/>
      <c r="AX166" s="647"/>
      <c r="AY166" s="647"/>
      <c r="AZ166" s="647"/>
      <c r="BA166" s="647"/>
      <c r="BB166" s="647"/>
      <c r="BC166" s="647"/>
      <c r="BD166" s="647"/>
      <c r="BE166" s="647"/>
      <c r="BF166" s="647"/>
      <c r="BG166" s="647"/>
      <c r="BH166" s="647"/>
      <c r="BI166" s="647"/>
      <c r="BJ166" s="647"/>
      <c r="BK166" s="647"/>
      <c r="BL166" s="647"/>
      <c r="BM166" s="647"/>
      <c r="BN166" s="647"/>
      <c r="BO166" s="647"/>
      <c r="BP166" s="647"/>
      <c r="BQ166" s="647"/>
      <c r="BR166" s="647"/>
      <c r="BS166" s="647"/>
      <c r="BT166" s="647"/>
      <c r="BU166" s="647"/>
      <c r="BV166" s="647"/>
      <c r="BW166" s="647"/>
      <c r="BX166" s="647"/>
      <c r="BY166" s="647"/>
      <c r="BZ166" s="647"/>
      <c r="CA166" s="647"/>
      <c r="CB166" s="647"/>
      <c r="CC166" s="647"/>
      <c r="CD166" s="647"/>
      <c r="CE166" s="647"/>
      <c r="CF166" s="647"/>
      <c r="CG166" s="647"/>
      <c r="CH166" s="647"/>
      <c r="CI166" s="647"/>
      <c r="CJ166" s="647"/>
      <c r="CK166" s="647"/>
      <c r="CL166" s="647"/>
      <c r="CM166" s="647"/>
      <c r="CN166" s="647"/>
    </row>
    <row r="167" spans="1:92">
      <c r="A167" s="647"/>
      <c r="B167" s="647"/>
      <c r="C167" s="647"/>
      <c r="D167" s="647"/>
      <c r="E167" s="649"/>
      <c r="F167" s="647"/>
      <c r="G167" s="647"/>
      <c r="H167" s="647"/>
      <c r="I167" s="647"/>
      <c r="J167" s="647"/>
      <c r="K167" s="647"/>
      <c r="L167" s="647"/>
      <c r="M167" s="647"/>
      <c r="N167" s="647"/>
      <c r="O167" s="647"/>
      <c r="P167" s="647"/>
      <c r="Q167" s="647"/>
      <c r="R167" s="647"/>
      <c r="S167" s="647"/>
      <c r="T167" s="647"/>
      <c r="U167" s="647"/>
      <c r="V167" s="647"/>
      <c r="W167" s="647"/>
      <c r="X167" s="647"/>
      <c r="Y167" s="647"/>
      <c r="Z167" s="647"/>
      <c r="AA167" s="647"/>
      <c r="AB167" s="647"/>
      <c r="AC167" s="647"/>
      <c r="AD167" s="647"/>
      <c r="AE167" s="647"/>
      <c r="AF167" s="647"/>
      <c r="AG167" s="647"/>
      <c r="AH167" s="647"/>
      <c r="AI167" s="647"/>
      <c r="AJ167" s="647"/>
      <c r="AK167" s="647"/>
      <c r="AL167" s="647"/>
      <c r="AM167" s="647"/>
      <c r="AN167" s="647"/>
      <c r="AO167" s="647"/>
      <c r="AP167" s="647"/>
      <c r="AQ167" s="647"/>
      <c r="AR167" s="647"/>
      <c r="AS167" s="647"/>
      <c r="AT167" s="647"/>
      <c r="AU167" s="647"/>
      <c r="AV167" s="647"/>
      <c r="AW167" s="647"/>
      <c r="AX167" s="647"/>
      <c r="AY167" s="647"/>
      <c r="AZ167" s="647"/>
      <c r="BA167" s="647"/>
      <c r="BB167" s="647"/>
      <c r="BC167" s="647"/>
      <c r="BD167" s="647"/>
      <c r="BE167" s="647"/>
      <c r="BF167" s="647"/>
      <c r="BG167" s="647"/>
      <c r="BH167" s="647"/>
      <c r="BI167" s="647"/>
      <c r="BJ167" s="647"/>
      <c r="BK167" s="647"/>
      <c r="BL167" s="647"/>
      <c r="BM167" s="647"/>
      <c r="BN167" s="647"/>
      <c r="BO167" s="647"/>
      <c r="BP167" s="647"/>
      <c r="BQ167" s="647"/>
      <c r="BR167" s="647"/>
      <c r="BS167" s="647"/>
      <c r="BT167" s="647"/>
      <c r="BU167" s="647"/>
      <c r="BV167" s="647"/>
      <c r="BW167" s="647"/>
      <c r="BX167" s="647"/>
      <c r="BY167" s="647"/>
      <c r="BZ167" s="647"/>
      <c r="CA167" s="647"/>
      <c r="CB167" s="647"/>
      <c r="CC167" s="647"/>
      <c r="CD167" s="647"/>
      <c r="CE167" s="647"/>
      <c r="CF167" s="647"/>
      <c r="CG167" s="647"/>
      <c r="CH167" s="647"/>
      <c r="CI167" s="647"/>
      <c r="CJ167" s="647"/>
      <c r="CK167" s="647"/>
      <c r="CL167" s="647"/>
      <c r="CM167" s="647"/>
      <c r="CN167" s="647"/>
    </row>
    <row r="168" spans="1:92" ht="24">
      <c r="A168" s="647"/>
      <c r="B168" s="661" t="s">
        <v>99</v>
      </c>
      <c r="C168" s="661" t="s">
        <v>65</v>
      </c>
      <c r="D168" s="661" t="s">
        <v>2</v>
      </c>
      <c r="E168" s="662" t="s">
        <v>2</v>
      </c>
      <c r="F168" s="647"/>
      <c r="G168" s="647"/>
      <c r="H168" s="647"/>
      <c r="I168" s="647"/>
      <c r="J168" s="647"/>
      <c r="K168" s="647"/>
      <c r="L168" s="647"/>
      <c r="M168" s="647"/>
      <c r="N168" s="647"/>
      <c r="O168" s="647"/>
      <c r="P168" s="647"/>
      <c r="Q168" s="647"/>
      <c r="R168" s="647"/>
      <c r="S168" s="647"/>
      <c r="T168" s="647"/>
      <c r="U168" s="647"/>
      <c r="V168" s="647"/>
      <c r="W168" s="647"/>
      <c r="X168" s="647"/>
      <c r="Y168" s="647"/>
      <c r="Z168" s="647"/>
      <c r="AA168" s="647"/>
      <c r="AB168" s="647"/>
      <c r="AC168" s="647"/>
      <c r="AD168" s="647"/>
      <c r="AE168" s="647"/>
      <c r="AF168" s="647"/>
      <c r="AG168" s="647"/>
      <c r="AH168" s="647"/>
      <c r="AI168" s="647"/>
      <c r="AJ168" s="647"/>
      <c r="AK168" s="647"/>
      <c r="AL168" s="647"/>
      <c r="AM168" s="647"/>
      <c r="AN168" s="647"/>
      <c r="AO168" s="647"/>
      <c r="AP168" s="647"/>
      <c r="AQ168" s="647"/>
      <c r="AR168" s="647"/>
      <c r="AS168" s="647"/>
      <c r="AT168" s="647"/>
      <c r="AU168" s="647"/>
      <c r="AV168" s="647"/>
      <c r="AW168" s="647"/>
      <c r="AX168" s="647"/>
      <c r="AY168" s="647"/>
      <c r="AZ168" s="647"/>
      <c r="BA168" s="647"/>
      <c r="BB168" s="647"/>
      <c r="BC168" s="647"/>
      <c r="BD168" s="647"/>
      <c r="BE168" s="647"/>
      <c r="BF168" s="647"/>
      <c r="BG168" s="647"/>
      <c r="BH168" s="647"/>
      <c r="BI168" s="647"/>
      <c r="BJ168" s="647"/>
      <c r="BK168" s="647"/>
      <c r="BL168" s="647"/>
      <c r="BM168" s="647"/>
      <c r="BN168" s="647"/>
      <c r="BO168" s="647"/>
      <c r="BP168" s="647"/>
      <c r="BQ168" s="647"/>
      <c r="BR168" s="647"/>
      <c r="BS168" s="647"/>
      <c r="BT168" s="647"/>
      <c r="BU168" s="647"/>
      <c r="BV168" s="647"/>
      <c r="BW168" s="647"/>
      <c r="BX168" s="647"/>
      <c r="BY168" s="647"/>
      <c r="BZ168" s="647"/>
      <c r="CA168" s="647"/>
      <c r="CB168" s="647"/>
      <c r="CC168" s="647"/>
      <c r="CD168" s="647"/>
      <c r="CE168" s="647"/>
      <c r="CF168" s="647"/>
      <c r="CG168" s="647"/>
      <c r="CH168" s="647"/>
      <c r="CI168" s="647"/>
      <c r="CJ168" s="647"/>
      <c r="CK168" s="647"/>
      <c r="CL168" s="647"/>
      <c r="CM168" s="647"/>
      <c r="CN168" s="647"/>
    </row>
    <row r="169" spans="1:92" ht="24">
      <c r="A169" s="647"/>
      <c r="B169" s="663" t="s">
        <v>1027</v>
      </c>
      <c r="C169" s="663" t="s">
        <v>1069</v>
      </c>
      <c r="D169" s="664">
        <v>0</v>
      </c>
      <c r="E169" s="665">
        <v>0</v>
      </c>
      <c r="F169" s="647"/>
      <c r="G169" s="647"/>
      <c r="H169" s="647"/>
      <c r="I169" s="647"/>
      <c r="J169" s="647"/>
      <c r="K169" s="647"/>
      <c r="L169" s="647"/>
      <c r="M169" s="647"/>
      <c r="N169" s="647"/>
      <c r="O169" s="647"/>
      <c r="P169" s="647"/>
      <c r="Q169" s="647"/>
      <c r="R169" s="647"/>
      <c r="S169" s="647"/>
      <c r="T169" s="647"/>
      <c r="U169" s="647"/>
      <c r="V169" s="647"/>
      <c r="W169" s="647"/>
      <c r="X169" s="647"/>
      <c r="Y169" s="647"/>
      <c r="Z169" s="647"/>
      <c r="AA169" s="647"/>
      <c r="AB169" s="647"/>
      <c r="AC169" s="647"/>
      <c r="AD169" s="647"/>
      <c r="AE169" s="647"/>
      <c r="AF169" s="647"/>
      <c r="AG169" s="647"/>
      <c r="AH169" s="647"/>
      <c r="AI169" s="647"/>
      <c r="AJ169" s="647"/>
      <c r="AK169" s="647"/>
      <c r="AL169" s="647"/>
      <c r="AM169" s="647"/>
      <c r="AN169" s="647"/>
      <c r="AO169" s="647"/>
      <c r="AP169" s="647"/>
      <c r="AQ169" s="647"/>
      <c r="AR169" s="647"/>
      <c r="AS169" s="647"/>
      <c r="AT169" s="647"/>
      <c r="AU169" s="647"/>
      <c r="AV169" s="647"/>
      <c r="AW169" s="647"/>
      <c r="AX169" s="647"/>
      <c r="AY169" s="647"/>
      <c r="AZ169" s="647"/>
      <c r="BA169" s="647"/>
      <c r="BB169" s="647"/>
      <c r="BC169" s="647"/>
      <c r="BD169" s="647"/>
      <c r="BE169" s="647"/>
      <c r="BF169" s="647"/>
      <c r="BG169" s="647"/>
      <c r="BH169" s="647"/>
      <c r="BI169" s="647"/>
      <c r="BJ169" s="647"/>
      <c r="BK169" s="647"/>
      <c r="BL169" s="647"/>
      <c r="BM169" s="647"/>
      <c r="BN169" s="647"/>
      <c r="BO169" s="647"/>
      <c r="BP169" s="647"/>
      <c r="BQ169" s="647"/>
      <c r="BR169" s="647"/>
      <c r="BS169" s="647"/>
      <c r="BT169" s="647"/>
      <c r="BU169" s="647"/>
      <c r="BV169" s="647"/>
      <c r="BW169" s="647"/>
      <c r="BX169" s="647"/>
      <c r="BY169" s="647"/>
      <c r="BZ169" s="647"/>
      <c r="CA169" s="647"/>
      <c r="CB169" s="647"/>
      <c r="CC169" s="647"/>
      <c r="CD169" s="647"/>
      <c r="CE169" s="647"/>
      <c r="CF169" s="647"/>
      <c r="CG169" s="647"/>
      <c r="CH169" s="647"/>
      <c r="CI169" s="647"/>
      <c r="CJ169" s="647"/>
      <c r="CK169" s="647"/>
      <c r="CL169" s="647"/>
      <c r="CM169" s="647"/>
      <c r="CN169" s="647"/>
    </row>
    <row r="170" spans="1:92">
      <c r="A170" s="647"/>
      <c r="B170" s="663" t="s">
        <v>1010</v>
      </c>
      <c r="C170" s="663" t="s">
        <v>1070</v>
      </c>
      <c r="D170" s="664">
        <v>0</v>
      </c>
      <c r="E170" s="665">
        <v>0</v>
      </c>
      <c r="F170" s="647"/>
      <c r="G170" s="647"/>
      <c r="H170" s="647"/>
      <c r="I170" s="647"/>
      <c r="J170" s="647"/>
      <c r="K170" s="647"/>
      <c r="L170" s="647"/>
      <c r="M170" s="647"/>
      <c r="N170" s="647"/>
      <c r="O170" s="647"/>
      <c r="P170" s="647"/>
      <c r="Q170" s="647"/>
      <c r="R170" s="647"/>
      <c r="S170" s="647"/>
      <c r="T170" s="647"/>
      <c r="U170" s="647"/>
      <c r="V170" s="647"/>
      <c r="W170" s="647"/>
      <c r="X170" s="647"/>
      <c r="Y170" s="647"/>
      <c r="Z170" s="647"/>
      <c r="AA170" s="647"/>
      <c r="AB170" s="647"/>
      <c r="AC170" s="647"/>
      <c r="AD170" s="647"/>
      <c r="AE170" s="647"/>
      <c r="AF170" s="647"/>
      <c r="AG170" s="647"/>
      <c r="AH170" s="647"/>
      <c r="AI170" s="647"/>
      <c r="AJ170" s="647"/>
      <c r="AK170" s="647"/>
      <c r="AL170" s="647"/>
      <c r="AM170" s="647"/>
      <c r="AN170" s="647"/>
      <c r="AO170" s="647"/>
      <c r="AP170" s="647"/>
      <c r="AQ170" s="647"/>
      <c r="AR170" s="647"/>
      <c r="AS170" s="647"/>
      <c r="AT170" s="647"/>
      <c r="AU170" s="647"/>
      <c r="AV170" s="647"/>
      <c r="AW170" s="647"/>
      <c r="AX170" s="647"/>
      <c r="AY170" s="647"/>
      <c r="AZ170" s="647"/>
      <c r="BA170" s="647"/>
      <c r="BB170" s="647"/>
      <c r="BC170" s="647"/>
      <c r="BD170" s="647"/>
      <c r="BE170" s="647"/>
      <c r="BF170" s="647"/>
      <c r="BG170" s="647"/>
      <c r="BH170" s="647"/>
      <c r="BI170" s="647"/>
      <c r="BJ170" s="647"/>
      <c r="BK170" s="647"/>
      <c r="BL170" s="647"/>
      <c r="BM170" s="647"/>
      <c r="BN170" s="647"/>
      <c r="BO170" s="647"/>
      <c r="BP170" s="647"/>
      <c r="BQ170" s="647"/>
      <c r="BR170" s="647"/>
      <c r="BS170" s="647"/>
      <c r="BT170" s="647"/>
      <c r="BU170" s="647"/>
      <c r="BV170" s="647"/>
      <c r="BW170" s="647"/>
      <c r="BX170" s="647"/>
      <c r="BY170" s="647"/>
      <c r="BZ170" s="647"/>
      <c r="CA170" s="647"/>
      <c r="CB170" s="647"/>
      <c r="CC170" s="647"/>
      <c r="CD170" s="647"/>
      <c r="CE170" s="647"/>
      <c r="CF170" s="647"/>
      <c r="CG170" s="647"/>
      <c r="CH170" s="647"/>
      <c r="CI170" s="647"/>
      <c r="CJ170" s="647"/>
      <c r="CK170" s="647"/>
      <c r="CL170" s="647"/>
      <c r="CM170" s="647"/>
      <c r="CN170" s="647"/>
    </row>
    <row r="171" spans="1:92">
      <c r="A171" s="647"/>
      <c r="B171" s="663" t="s">
        <v>1071</v>
      </c>
      <c r="C171" s="663"/>
      <c r="D171" s="664">
        <v>0</v>
      </c>
      <c r="E171" s="665">
        <v>0</v>
      </c>
      <c r="F171" s="647"/>
      <c r="G171" s="647"/>
      <c r="H171" s="647"/>
      <c r="I171" s="647"/>
      <c r="J171" s="647"/>
      <c r="K171" s="647"/>
      <c r="L171" s="647"/>
      <c r="M171" s="647"/>
      <c r="N171" s="647"/>
      <c r="O171" s="647"/>
      <c r="P171" s="647"/>
      <c r="Q171" s="647"/>
      <c r="R171" s="647"/>
      <c r="S171" s="647"/>
      <c r="T171" s="647"/>
      <c r="U171" s="647"/>
      <c r="V171" s="647"/>
      <c r="W171" s="647"/>
      <c r="X171" s="647"/>
      <c r="Y171" s="647"/>
      <c r="Z171" s="647"/>
      <c r="AA171" s="647"/>
      <c r="AB171" s="647"/>
      <c r="AC171" s="647"/>
      <c r="AD171" s="647"/>
      <c r="AE171" s="647"/>
      <c r="AF171" s="647"/>
      <c r="AG171" s="647"/>
      <c r="AH171" s="647"/>
      <c r="AI171" s="647"/>
      <c r="AJ171" s="647"/>
      <c r="AK171" s="647"/>
      <c r="AL171" s="647"/>
      <c r="AM171" s="647"/>
      <c r="AN171" s="647"/>
      <c r="AO171" s="647"/>
      <c r="AP171" s="647"/>
      <c r="AQ171" s="647"/>
      <c r="AR171" s="647"/>
      <c r="AS171" s="647"/>
      <c r="AT171" s="647"/>
      <c r="AU171" s="647"/>
      <c r="AV171" s="647"/>
      <c r="AW171" s="647"/>
      <c r="AX171" s="647"/>
      <c r="AY171" s="647"/>
      <c r="AZ171" s="647"/>
      <c r="BA171" s="647"/>
      <c r="BB171" s="647"/>
      <c r="BC171" s="647"/>
      <c r="BD171" s="647"/>
      <c r="BE171" s="647"/>
      <c r="BF171" s="647"/>
      <c r="BG171" s="647"/>
      <c r="BH171" s="647"/>
      <c r="BI171" s="647"/>
      <c r="BJ171" s="647"/>
      <c r="BK171" s="647"/>
      <c r="BL171" s="647"/>
      <c r="BM171" s="647"/>
      <c r="BN171" s="647"/>
      <c r="BO171" s="647"/>
      <c r="BP171" s="647"/>
      <c r="BQ171" s="647"/>
      <c r="BR171" s="647"/>
      <c r="BS171" s="647"/>
      <c r="BT171" s="647"/>
      <c r="BU171" s="647"/>
      <c r="BV171" s="647"/>
      <c r="BW171" s="647"/>
      <c r="BX171" s="647"/>
      <c r="BY171" s="647"/>
      <c r="BZ171" s="647"/>
      <c r="CA171" s="647"/>
      <c r="CB171" s="647"/>
      <c r="CC171" s="647"/>
      <c r="CD171" s="647"/>
      <c r="CE171" s="647"/>
      <c r="CF171" s="647"/>
      <c r="CG171" s="647"/>
      <c r="CH171" s="647"/>
      <c r="CI171" s="647"/>
      <c r="CJ171" s="647"/>
      <c r="CK171" s="647"/>
      <c r="CL171" s="647"/>
      <c r="CM171" s="647"/>
      <c r="CN171" s="647"/>
    </row>
    <row r="172" spans="1:92">
      <c r="A172" s="647"/>
      <c r="B172" s="663" t="s">
        <v>1007</v>
      </c>
      <c r="C172" s="666" t="s">
        <v>95</v>
      </c>
      <c r="D172" s="664">
        <v>0</v>
      </c>
      <c r="E172" s="665">
        <v>0</v>
      </c>
      <c r="F172" s="647"/>
      <c r="G172" s="647"/>
      <c r="H172" s="647"/>
      <c r="I172" s="647"/>
      <c r="J172" s="647"/>
      <c r="K172" s="647"/>
      <c r="L172" s="647"/>
      <c r="M172" s="647"/>
      <c r="N172" s="647"/>
      <c r="O172" s="647"/>
      <c r="P172" s="647"/>
      <c r="Q172" s="647"/>
      <c r="R172" s="647"/>
      <c r="S172" s="647"/>
      <c r="T172" s="647"/>
      <c r="U172" s="647"/>
      <c r="V172" s="647"/>
      <c r="W172" s="647"/>
      <c r="X172" s="647"/>
      <c r="Y172" s="647"/>
      <c r="Z172" s="647"/>
      <c r="AA172" s="647"/>
      <c r="AB172" s="647"/>
      <c r="AC172" s="647"/>
      <c r="AD172" s="647"/>
      <c r="AE172" s="647"/>
      <c r="AF172" s="647"/>
      <c r="AG172" s="647"/>
      <c r="AH172" s="647"/>
      <c r="AI172" s="647"/>
      <c r="AJ172" s="647"/>
      <c r="AK172" s="647"/>
      <c r="AL172" s="647"/>
      <c r="AM172" s="647"/>
      <c r="AN172" s="647"/>
      <c r="AO172" s="647"/>
      <c r="AP172" s="647"/>
      <c r="AQ172" s="647"/>
      <c r="AR172" s="647"/>
      <c r="AS172" s="647"/>
      <c r="AT172" s="647"/>
      <c r="AU172" s="647"/>
      <c r="AV172" s="647"/>
      <c r="AW172" s="647"/>
      <c r="AX172" s="647"/>
      <c r="AY172" s="647"/>
      <c r="AZ172" s="647"/>
      <c r="BA172" s="647"/>
      <c r="BB172" s="647"/>
      <c r="BC172" s="647"/>
      <c r="BD172" s="647"/>
      <c r="BE172" s="647"/>
      <c r="BF172" s="647"/>
      <c r="BG172" s="647"/>
      <c r="BH172" s="647"/>
      <c r="BI172" s="647"/>
      <c r="BJ172" s="647"/>
      <c r="BK172" s="647"/>
      <c r="BL172" s="647"/>
      <c r="BM172" s="647"/>
      <c r="BN172" s="647"/>
      <c r="BO172" s="647"/>
      <c r="BP172" s="647"/>
      <c r="BQ172" s="647"/>
      <c r="BR172" s="647"/>
      <c r="BS172" s="647"/>
      <c r="BT172" s="647"/>
      <c r="BU172" s="647"/>
      <c r="BV172" s="647"/>
      <c r="BW172" s="647"/>
      <c r="BX172" s="647"/>
      <c r="BY172" s="647"/>
      <c r="BZ172" s="647"/>
      <c r="CA172" s="647"/>
      <c r="CB172" s="647"/>
      <c r="CC172" s="647"/>
      <c r="CD172" s="647"/>
      <c r="CE172" s="647"/>
      <c r="CF172" s="647"/>
      <c r="CG172" s="647"/>
      <c r="CH172" s="647"/>
      <c r="CI172" s="647"/>
      <c r="CJ172" s="647"/>
      <c r="CK172" s="647"/>
      <c r="CL172" s="647"/>
      <c r="CM172" s="647"/>
      <c r="CN172" s="647"/>
    </row>
    <row r="173" spans="1:92">
      <c r="A173" s="647" t="s">
        <v>1007</v>
      </c>
      <c r="B173" s="647" t="s">
        <v>1007</v>
      </c>
      <c r="C173" s="647" t="s">
        <v>1007</v>
      </c>
      <c r="D173" s="647" t="s">
        <v>1007</v>
      </c>
      <c r="F173" s="647"/>
      <c r="G173" s="647"/>
      <c r="H173" s="647"/>
      <c r="I173" s="647"/>
      <c r="J173" s="647"/>
      <c r="K173" s="647"/>
      <c r="L173" s="647"/>
      <c r="M173" s="647"/>
      <c r="N173" s="647"/>
      <c r="O173" s="647"/>
      <c r="P173" s="647"/>
      <c r="Q173" s="647"/>
      <c r="R173" s="647"/>
      <c r="S173" s="647"/>
      <c r="T173" s="647"/>
      <c r="U173" s="647"/>
      <c r="V173" s="647"/>
      <c r="W173" s="647"/>
      <c r="X173" s="647"/>
      <c r="Y173" s="647"/>
      <c r="Z173" s="647"/>
      <c r="AA173" s="647"/>
      <c r="AB173" s="647"/>
      <c r="AC173" s="647"/>
      <c r="AD173" s="647"/>
      <c r="AE173" s="647"/>
      <c r="AF173" s="647"/>
      <c r="AG173" s="647"/>
      <c r="AH173" s="647"/>
      <c r="AI173" s="647"/>
      <c r="AJ173" s="647"/>
      <c r="AK173" s="647"/>
      <c r="AL173" s="647"/>
      <c r="AM173" s="647"/>
      <c r="AN173" s="729"/>
      <c r="AO173" s="729"/>
      <c r="AP173" s="729"/>
      <c r="AQ173" s="729"/>
      <c r="AR173" s="729"/>
      <c r="AS173" s="729"/>
      <c r="AT173" s="729"/>
      <c r="AU173" s="729"/>
      <c r="AV173" s="729"/>
      <c r="AW173" s="729"/>
      <c r="AX173" s="729"/>
      <c r="AY173" s="729"/>
      <c r="AZ173" s="729"/>
      <c r="BA173" s="729"/>
      <c r="BB173" s="729"/>
      <c r="BC173" s="729"/>
      <c r="BD173" s="729"/>
      <c r="BE173" s="729"/>
      <c r="BF173" s="729"/>
      <c r="BG173" s="729"/>
      <c r="BH173" s="729"/>
      <c r="BI173" s="729"/>
      <c r="BJ173" s="729"/>
      <c r="BK173" s="729"/>
      <c r="BL173" s="729"/>
      <c r="BM173" s="729"/>
      <c r="BN173" s="729"/>
      <c r="BO173" s="729"/>
      <c r="BP173" s="729"/>
      <c r="BQ173" s="729"/>
      <c r="BR173" s="729"/>
      <c r="BS173" s="729"/>
      <c r="BT173" s="729"/>
      <c r="BU173" s="729"/>
      <c r="BV173" s="729"/>
      <c r="BW173" s="729"/>
      <c r="BX173" s="729"/>
      <c r="BY173" s="729"/>
      <c r="BZ173" s="729"/>
      <c r="CA173" s="729"/>
      <c r="CB173" s="729"/>
      <c r="CC173" s="729"/>
      <c r="CD173" s="729"/>
      <c r="CE173" s="729"/>
      <c r="CF173" s="729"/>
      <c r="CG173" s="729"/>
      <c r="CH173" s="729"/>
      <c r="CI173" s="729"/>
      <c r="CJ173" s="729"/>
      <c r="CK173" s="729"/>
      <c r="CL173" s="729"/>
      <c r="CM173" s="729"/>
      <c r="CN173" s="729"/>
    </row>
    <row r="174" spans="1:92">
      <c r="A174" s="646" t="s">
        <v>1001</v>
      </c>
      <c r="B174" s="647"/>
      <c r="C174" s="647"/>
      <c r="D174" s="647"/>
      <c r="F174" s="647"/>
      <c r="G174" s="647"/>
      <c r="H174" s="647"/>
      <c r="I174" s="647"/>
      <c r="J174" s="647"/>
      <c r="K174" s="647"/>
      <c r="L174" s="647"/>
      <c r="M174" s="647"/>
      <c r="N174" s="647"/>
      <c r="O174" s="647"/>
      <c r="P174" s="647"/>
      <c r="Q174" s="647"/>
      <c r="R174" s="647"/>
      <c r="S174" s="647"/>
      <c r="T174" s="647"/>
      <c r="U174" s="647"/>
      <c r="V174" s="647"/>
      <c r="W174" s="647"/>
      <c r="X174" s="647"/>
      <c r="Y174" s="647"/>
      <c r="Z174" s="647"/>
      <c r="AA174" s="647"/>
      <c r="AB174" s="647"/>
      <c r="AC174" s="647"/>
      <c r="AD174" s="647"/>
      <c r="AE174" s="647"/>
      <c r="AF174" s="647"/>
      <c r="AG174" s="647"/>
      <c r="AH174" s="647"/>
      <c r="AI174" s="647"/>
      <c r="AJ174" s="647"/>
      <c r="AK174" s="647"/>
      <c r="AL174" s="647"/>
      <c r="AM174" s="647"/>
      <c r="AN174" s="647"/>
      <c r="AO174" s="647"/>
      <c r="AP174" s="647"/>
      <c r="AQ174" s="647"/>
      <c r="AR174" s="647"/>
      <c r="AS174" s="647"/>
      <c r="AT174" s="647"/>
      <c r="AU174" s="647"/>
      <c r="AV174" s="647"/>
      <c r="AW174" s="647"/>
      <c r="AX174" s="647"/>
      <c r="AY174" s="647"/>
      <c r="AZ174" s="647"/>
      <c r="BA174" s="647"/>
      <c r="BB174" s="647"/>
      <c r="BC174" s="647"/>
      <c r="BD174" s="647"/>
      <c r="BE174" s="647"/>
      <c r="BF174" s="647"/>
      <c r="BG174" s="647"/>
      <c r="BH174" s="647"/>
      <c r="BI174" s="647"/>
      <c r="BJ174" s="647"/>
      <c r="BK174" s="647"/>
      <c r="BL174" s="647"/>
      <c r="BM174" s="647"/>
      <c r="BN174" s="647"/>
      <c r="BO174" s="647"/>
      <c r="BP174" s="647"/>
      <c r="BQ174" s="647"/>
      <c r="BR174" s="647"/>
      <c r="BS174" s="647"/>
      <c r="BT174" s="647"/>
      <c r="BU174" s="647"/>
      <c r="BV174" s="647"/>
      <c r="BW174" s="647"/>
      <c r="BX174" s="647"/>
      <c r="BY174" s="647"/>
      <c r="BZ174" s="647"/>
      <c r="CA174" s="647"/>
      <c r="CB174" s="647"/>
      <c r="CC174" s="647"/>
      <c r="CD174" s="647"/>
      <c r="CE174" s="647"/>
      <c r="CF174" s="647"/>
      <c r="CG174" s="647"/>
      <c r="CH174" s="647"/>
      <c r="CI174" s="647"/>
      <c r="CJ174" s="647"/>
      <c r="CK174" s="647"/>
      <c r="CL174" s="647"/>
      <c r="CM174" s="647"/>
      <c r="CN174" s="647"/>
    </row>
    <row r="175" spans="1:92">
      <c r="A175" s="647"/>
      <c r="B175" s="646" t="s">
        <v>1072</v>
      </c>
      <c r="C175" s="647"/>
      <c r="D175" s="647"/>
      <c r="F175" s="647"/>
      <c r="G175" s="647"/>
      <c r="H175" s="647"/>
      <c r="I175" s="647"/>
      <c r="J175" s="647"/>
      <c r="K175" s="647"/>
      <c r="L175" s="647"/>
      <c r="M175" s="647"/>
      <c r="N175" s="647"/>
      <c r="O175" s="647"/>
      <c r="P175" s="647"/>
      <c r="Q175" s="647"/>
      <c r="R175" s="647"/>
      <c r="S175" s="647"/>
      <c r="T175" s="647"/>
      <c r="U175" s="647"/>
      <c r="V175" s="647"/>
      <c r="W175" s="647"/>
      <c r="X175" s="647"/>
      <c r="Y175" s="647"/>
      <c r="Z175" s="647"/>
      <c r="AA175" s="647"/>
      <c r="AB175" s="647"/>
      <c r="AC175" s="647"/>
      <c r="AD175" s="647"/>
      <c r="AE175" s="647"/>
      <c r="AF175" s="647"/>
      <c r="AG175" s="647"/>
      <c r="AH175" s="647"/>
      <c r="AI175" s="647"/>
      <c r="AJ175" s="647"/>
      <c r="AK175" s="647"/>
      <c r="AL175" s="647"/>
      <c r="AM175" s="647"/>
      <c r="AN175" s="647"/>
      <c r="AO175" s="647"/>
      <c r="AP175" s="647"/>
      <c r="AQ175" s="647"/>
      <c r="AR175" s="647"/>
      <c r="AS175" s="647"/>
      <c r="AT175" s="647"/>
      <c r="AU175" s="647"/>
      <c r="AV175" s="647"/>
      <c r="AW175" s="647"/>
      <c r="AX175" s="647"/>
      <c r="AY175" s="647"/>
      <c r="AZ175" s="647"/>
      <c r="BA175" s="647"/>
      <c r="BB175" s="647"/>
      <c r="BC175" s="647"/>
      <c r="BD175" s="647"/>
      <c r="BE175" s="647"/>
      <c r="BF175" s="647"/>
      <c r="BG175" s="647"/>
      <c r="BH175" s="647"/>
      <c r="BI175" s="647"/>
      <c r="BJ175" s="647"/>
      <c r="BK175" s="647"/>
      <c r="BL175" s="647"/>
      <c r="BM175" s="647"/>
      <c r="BN175" s="647"/>
      <c r="BO175" s="647"/>
      <c r="BP175" s="647"/>
      <c r="BQ175" s="647"/>
      <c r="BR175" s="647"/>
      <c r="BS175" s="647"/>
      <c r="BT175" s="647"/>
      <c r="BU175" s="647"/>
      <c r="BV175" s="647"/>
      <c r="BW175" s="647"/>
      <c r="BX175" s="647"/>
      <c r="BY175" s="647"/>
      <c r="BZ175" s="647"/>
      <c r="CA175" s="647"/>
      <c r="CB175" s="647"/>
      <c r="CC175" s="647"/>
      <c r="CD175" s="647"/>
      <c r="CE175" s="647"/>
      <c r="CF175" s="647"/>
      <c r="CG175" s="647"/>
      <c r="CH175" s="647"/>
      <c r="CI175" s="647"/>
      <c r="CJ175" s="647"/>
      <c r="CK175" s="647"/>
      <c r="CL175" s="647"/>
      <c r="CM175" s="647"/>
      <c r="CN175" s="647"/>
    </row>
    <row r="176" spans="1:92">
      <c r="A176" s="647"/>
      <c r="B176" s="647"/>
      <c r="C176" s="647"/>
      <c r="D176" s="647"/>
      <c r="E176" s="649"/>
      <c r="F176" s="647"/>
      <c r="G176" s="647"/>
      <c r="H176" s="647"/>
      <c r="I176" s="647"/>
      <c r="J176" s="647"/>
      <c r="K176" s="647"/>
      <c r="L176" s="647"/>
      <c r="M176" s="647"/>
      <c r="N176" s="647"/>
      <c r="O176" s="647"/>
      <c r="P176" s="647"/>
      <c r="Q176" s="647"/>
      <c r="R176" s="647"/>
      <c r="S176" s="647"/>
      <c r="T176" s="647"/>
      <c r="U176" s="647"/>
      <c r="V176" s="647"/>
      <c r="W176" s="647"/>
      <c r="X176" s="647"/>
      <c r="Y176" s="647"/>
      <c r="Z176" s="647"/>
      <c r="AA176" s="647"/>
      <c r="AB176" s="647"/>
      <c r="AC176" s="647"/>
      <c r="AD176" s="647"/>
      <c r="AE176" s="647"/>
      <c r="AF176" s="647"/>
      <c r="AG176" s="647"/>
      <c r="AH176" s="647"/>
      <c r="AI176" s="647"/>
      <c r="AJ176" s="647"/>
      <c r="AK176" s="647"/>
      <c r="AL176" s="647"/>
      <c r="AM176" s="647"/>
      <c r="AN176" s="647"/>
      <c r="AO176" s="647"/>
      <c r="AP176" s="647"/>
      <c r="AQ176" s="647"/>
      <c r="AR176" s="647"/>
      <c r="AS176" s="647"/>
      <c r="AT176" s="647"/>
      <c r="AU176" s="647"/>
      <c r="AV176" s="647"/>
      <c r="AW176" s="647"/>
      <c r="AX176" s="647"/>
      <c r="AY176" s="647"/>
      <c r="AZ176" s="647"/>
      <c r="BA176" s="647"/>
      <c r="BB176" s="647"/>
      <c r="BC176" s="647"/>
      <c r="BD176" s="647"/>
      <c r="BE176" s="647"/>
      <c r="BF176" s="647"/>
      <c r="BG176" s="647"/>
      <c r="BH176" s="647"/>
      <c r="BI176" s="647"/>
      <c r="BJ176" s="647"/>
      <c r="BK176" s="647"/>
      <c r="BL176" s="647"/>
      <c r="BM176" s="647"/>
      <c r="BN176" s="647"/>
      <c r="BO176" s="647"/>
      <c r="BP176" s="647"/>
      <c r="BQ176" s="647"/>
      <c r="BR176" s="647"/>
      <c r="BS176" s="647"/>
      <c r="BT176" s="647"/>
      <c r="BU176" s="647"/>
      <c r="BV176" s="647"/>
      <c r="BW176" s="647"/>
      <c r="BX176" s="647"/>
      <c r="BY176" s="647"/>
      <c r="BZ176" s="647"/>
      <c r="CA176" s="647"/>
      <c r="CB176" s="647"/>
      <c r="CC176" s="647"/>
      <c r="CD176" s="647"/>
      <c r="CE176" s="647"/>
      <c r="CF176" s="647"/>
      <c r="CG176" s="647"/>
      <c r="CH176" s="647"/>
      <c r="CI176" s="647"/>
      <c r="CJ176" s="647"/>
      <c r="CK176" s="647"/>
      <c r="CL176" s="647"/>
      <c r="CM176" s="647"/>
      <c r="CN176" s="647"/>
    </row>
    <row r="177" spans="1:92" ht="24">
      <c r="A177" s="647"/>
      <c r="B177" s="661" t="s">
        <v>99</v>
      </c>
      <c r="C177" s="661" t="s">
        <v>65</v>
      </c>
      <c r="D177" s="661" t="s">
        <v>2</v>
      </c>
      <c r="E177" s="662" t="s">
        <v>2</v>
      </c>
      <c r="F177" s="647"/>
      <c r="G177" s="647"/>
      <c r="H177" s="647"/>
      <c r="I177" s="647"/>
      <c r="J177" s="647"/>
      <c r="K177" s="647"/>
      <c r="L177" s="647"/>
      <c r="M177" s="647"/>
      <c r="N177" s="647"/>
      <c r="O177" s="647"/>
      <c r="P177" s="647"/>
      <c r="Q177" s="647"/>
      <c r="R177" s="647"/>
      <c r="S177" s="647"/>
      <c r="T177" s="647"/>
      <c r="U177" s="647"/>
      <c r="V177" s="647"/>
      <c r="W177" s="647"/>
      <c r="X177" s="647"/>
      <c r="Y177" s="647"/>
      <c r="Z177" s="647"/>
      <c r="AA177" s="647"/>
      <c r="AB177" s="647"/>
      <c r="AC177" s="647"/>
      <c r="AD177" s="647"/>
      <c r="AE177" s="647"/>
      <c r="AF177" s="647"/>
      <c r="AG177" s="647"/>
      <c r="AH177" s="647"/>
      <c r="AI177" s="647"/>
      <c r="AJ177" s="647"/>
      <c r="AK177" s="647"/>
      <c r="AL177" s="647"/>
      <c r="AM177" s="647"/>
      <c r="AN177" s="647"/>
      <c r="AO177" s="647"/>
      <c r="AP177" s="647"/>
      <c r="AQ177" s="647"/>
      <c r="AR177" s="647"/>
      <c r="AS177" s="647"/>
      <c r="AT177" s="647"/>
      <c r="AU177" s="647"/>
      <c r="AV177" s="647"/>
      <c r="AW177" s="647"/>
      <c r="AX177" s="647"/>
      <c r="AY177" s="647"/>
      <c r="AZ177" s="647"/>
      <c r="BA177" s="647"/>
      <c r="BB177" s="647"/>
      <c r="BC177" s="647"/>
      <c r="BD177" s="647"/>
      <c r="BE177" s="647"/>
      <c r="BF177" s="647"/>
      <c r="BG177" s="647"/>
      <c r="BH177" s="647"/>
      <c r="BI177" s="647"/>
      <c r="BJ177" s="647"/>
      <c r="BK177" s="647"/>
      <c r="BL177" s="647"/>
      <c r="BM177" s="647"/>
      <c r="BN177" s="647"/>
      <c r="BO177" s="647"/>
      <c r="BP177" s="647"/>
      <c r="BQ177" s="647"/>
      <c r="BR177" s="647"/>
      <c r="BS177" s="647"/>
      <c r="BT177" s="647"/>
      <c r="BU177" s="647"/>
      <c r="BV177" s="647"/>
      <c r="BW177" s="647"/>
      <c r="BX177" s="647"/>
      <c r="BY177" s="647"/>
      <c r="BZ177" s="647"/>
      <c r="CA177" s="647"/>
      <c r="CB177" s="647"/>
      <c r="CC177" s="647"/>
      <c r="CD177" s="647"/>
      <c r="CE177" s="647"/>
      <c r="CF177" s="647"/>
      <c r="CG177" s="647"/>
      <c r="CH177" s="647"/>
      <c r="CI177" s="647"/>
      <c r="CJ177" s="647"/>
      <c r="CK177" s="647"/>
      <c r="CL177" s="647"/>
      <c r="CM177" s="647"/>
      <c r="CN177" s="647"/>
    </row>
    <row r="178" spans="1:92">
      <c r="A178" s="647"/>
      <c r="B178" s="663" t="s">
        <v>1027</v>
      </c>
      <c r="C178" s="663" t="s">
        <v>1073</v>
      </c>
      <c r="D178" s="664">
        <v>0</v>
      </c>
      <c r="E178" s="665">
        <v>0</v>
      </c>
      <c r="F178" s="647"/>
      <c r="G178" s="647"/>
      <c r="H178" s="647"/>
      <c r="I178" s="647"/>
      <c r="J178" s="647"/>
      <c r="K178" s="647"/>
      <c r="L178" s="647"/>
      <c r="M178" s="647"/>
      <c r="N178" s="647"/>
      <c r="O178" s="647"/>
      <c r="P178" s="647"/>
      <c r="Q178" s="647"/>
      <c r="R178" s="647"/>
      <c r="S178" s="647"/>
      <c r="T178" s="647"/>
      <c r="U178" s="647"/>
      <c r="V178" s="647"/>
      <c r="W178" s="647"/>
      <c r="X178" s="647"/>
      <c r="Y178" s="647"/>
      <c r="Z178" s="647"/>
      <c r="AA178" s="647"/>
      <c r="AB178" s="647"/>
      <c r="AC178" s="647"/>
      <c r="AD178" s="647"/>
      <c r="AE178" s="647"/>
      <c r="AF178" s="647"/>
      <c r="AG178" s="647"/>
      <c r="AH178" s="647"/>
      <c r="AI178" s="647"/>
      <c r="AJ178" s="647"/>
      <c r="AK178" s="647"/>
      <c r="AL178" s="647"/>
      <c r="AM178" s="647"/>
      <c r="AN178" s="647"/>
      <c r="AO178" s="647"/>
      <c r="AP178" s="647"/>
      <c r="AQ178" s="647"/>
      <c r="AR178" s="647"/>
      <c r="AS178" s="647"/>
      <c r="AT178" s="647"/>
      <c r="AU178" s="647"/>
      <c r="AV178" s="647"/>
      <c r="AW178" s="647"/>
      <c r="AX178" s="647"/>
      <c r="AY178" s="647"/>
      <c r="AZ178" s="647"/>
      <c r="BA178" s="647"/>
      <c r="BB178" s="647"/>
      <c r="BC178" s="647"/>
      <c r="BD178" s="647"/>
      <c r="BE178" s="647"/>
      <c r="BF178" s="647"/>
      <c r="BG178" s="647"/>
      <c r="BH178" s="647"/>
      <c r="BI178" s="647"/>
      <c r="BJ178" s="647"/>
      <c r="BK178" s="647"/>
      <c r="BL178" s="647"/>
      <c r="BM178" s="647"/>
      <c r="BN178" s="647"/>
      <c r="BO178" s="647"/>
      <c r="BP178" s="647"/>
      <c r="BQ178" s="647"/>
      <c r="BR178" s="647"/>
      <c r="BS178" s="647"/>
      <c r="BT178" s="647"/>
      <c r="BU178" s="647"/>
      <c r="BV178" s="647"/>
      <c r="BW178" s="647"/>
      <c r="BX178" s="647"/>
      <c r="BY178" s="647"/>
      <c r="BZ178" s="647"/>
      <c r="CA178" s="647"/>
      <c r="CB178" s="647"/>
      <c r="CC178" s="647"/>
      <c r="CD178" s="647"/>
      <c r="CE178" s="647"/>
      <c r="CF178" s="647"/>
      <c r="CG178" s="647"/>
      <c r="CH178" s="647"/>
      <c r="CI178" s="647"/>
      <c r="CJ178" s="647"/>
      <c r="CK178" s="647"/>
      <c r="CL178" s="647"/>
      <c r="CM178" s="647"/>
      <c r="CN178" s="647"/>
    </row>
    <row r="179" spans="1:92">
      <c r="A179" s="647"/>
      <c r="B179" s="663" t="s">
        <v>1010</v>
      </c>
      <c r="C179" s="663" t="s">
        <v>1074</v>
      </c>
      <c r="D179" s="664">
        <v>0</v>
      </c>
      <c r="E179" s="665">
        <v>0</v>
      </c>
      <c r="F179" s="647"/>
      <c r="G179" s="647"/>
      <c r="H179" s="647"/>
      <c r="I179" s="647"/>
      <c r="J179" s="647"/>
      <c r="K179" s="647"/>
      <c r="L179" s="647"/>
      <c r="M179" s="647"/>
      <c r="N179" s="647"/>
      <c r="O179" s="647"/>
      <c r="P179" s="647"/>
      <c r="Q179" s="647"/>
      <c r="R179" s="647"/>
      <c r="S179" s="647"/>
      <c r="T179" s="647"/>
      <c r="U179" s="647"/>
      <c r="V179" s="647"/>
      <c r="W179" s="647"/>
      <c r="X179" s="647"/>
      <c r="Y179" s="647"/>
      <c r="Z179" s="647"/>
      <c r="AA179" s="647"/>
      <c r="AB179" s="647"/>
      <c r="AC179" s="647"/>
      <c r="AD179" s="647"/>
      <c r="AE179" s="647"/>
      <c r="AF179" s="647"/>
      <c r="AG179" s="647"/>
      <c r="AH179" s="647"/>
      <c r="AI179" s="647"/>
      <c r="AJ179" s="647"/>
      <c r="AK179" s="647"/>
      <c r="AL179" s="647"/>
      <c r="AM179" s="647"/>
      <c r="AN179" s="647"/>
      <c r="AO179" s="647"/>
      <c r="AP179" s="647"/>
      <c r="AQ179" s="647"/>
      <c r="AR179" s="647"/>
      <c r="AS179" s="647"/>
      <c r="AT179" s="647"/>
      <c r="AU179" s="647"/>
      <c r="AV179" s="647"/>
      <c r="AW179" s="647"/>
      <c r="AX179" s="647"/>
      <c r="AY179" s="647"/>
      <c r="AZ179" s="647"/>
      <c r="BA179" s="647"/>
      <c r="BB179" s="647"/>
      <c r="BC179" s="647"/>
      <c r="BD179" s="647"/>
      <c r="BE179" s="647"/>
      <c r="BF179" s="647"/>
      <c r="BG179" s="647"/>
      <c r="BH179" s="647"/>
      <c r="BI179" s="647"/>
      <c r="BJ179" s="647"/>
      <c r="BK179" s="647"/>
      <c r="BL179" s="647"/>
      <c r="BM179" s="647"/>
      <c r="BN179" s="647"/>
      <c r="BO179" s="647"/>
      <c r="BP179" s="647"/>
      <c r="BQ179" s="647"/>
      <c r="BR179" s="647"/>
      <c r="BS179" s="647"/>
      <c r="BT179" s="647"/>
      <c r="BU179" s="647"/>
      <c r="BV179" s="647"/>
      <c r="BW179" s="647"/>
      <c r="BX179" s="647"/>
      <c r="BY179" s="647"/>
      <c r="BZ179" s="647"/>
      <c r="CA179" s="647"/>
      <c r="CB179" s="647"/>
      <c r="CC179" s="647"/>
      <c r="CD179" s="647"/>
      <c r="CE179" s="647"/>
      <c r="CF179" s="647"/>
      <c r="CG179" s="647"/>
      <c r="CH179" s="647"/>
      <c r="CI179" s="647"/>
      <c r="CJ179" s="647"/>
      <c r="CK179" s="647"/>
      <c r="CL179" s="647"/>
      <c r="CM179" s="647"/>
      <c r="CN179" s="647"/>
    </row>
    <row r="180" spans="1:92">
      <c r="A180" s="647"/>
      <c r="B180" s="663" t="s">
        <v>1071</v>
      </c>
      <c r="C180" s="663" t="s">
        <v>1075</v>
      </c>
      <c r="D180" s="665">
        <v>177210.02000000002</v>
      </c>
      <c r="E180" s="665">
        <f>+'ST1'!D38</f>
        <v>816303.29232500005</v>
      </c>
      <c r="F180" s="647"/>
      <c r="G180" s="647"/>
      <c r="H180" s="647"/>
      <c r="I180" s="647"/>
      <c r="J180" s="647"/>
      <c r="K180" s="647"/>
      <c r="L180" s="647"/>
      <c r="M180" s="647"/>
      <c r="N180" s="647"/>
      <c r="O180" s="647"/>
      <c r="P180" s="647"/>
      <c r="Q180" s="647"/>
      <c r="R180" s="647"/>
      <c r="S180" s="647"/>
      <c r="T180" s="647"/>
      <c r="U180" s="647"/>
      <c r="V180" s="647"/>
      <c r="W180" s="647"/>
      <c r="X180" s="647"/>
      <c r="Y180" s="647"/>
      <c r="Z180" s="647"/>
      <c r="AA180" s="647"/>
      <c r="AB180" s="647"/>
      <c r="AC180" s="647"/>
      <c r="AD180" s="647"/>
      <c r="AE180" s="647"/>
      <c r="AF180" s="647"/>
      <c r="AG180" s="647"/>
      <c r="AH180" s="647"/>
      <c r="AI180" s="647"/>
      <c r="AJ180" s="647"/>
      <c r="AK180" s="647"/>
      <c r="AL180" s="647"/>
      <c r="AM180" s="647"/>
      <c r="AN180" s="647"/>
      <c r="AO180" s="647"/>
      <c r="AP180" s="647"/>
      <c r="AQ180" s="647"/>
      <c r="AR180" s="647"/>
      <c r="AS180" s="647"/>
      <c r="AT180" s="647"/>
      <c r="AU180" s="647"/>
      <c r="AV180" s="647"/>
      <c r="AW180" s="647"/>
      <c r="AX180" s="647"/>
      <c r="AY180" s="647"/>
      <c r="AZ180" s="647"/>
      <c r="BA180" s="647"/>
      <c r="BB180" s="647"/>
      <c r="BC180" s="647"/>
      <c r="BD180" s="647"/>
      <c r="BE180" s="647"/>
      <c r="BF180" s="647"/>
      <c r="BG180" s="647"/>
      <c r="BH180" s="647"/>
      <c r="BI180" s="647"/>
      <c r="BJ180" s="647"/>
      <c r="BK180" s="647"/>
      <c r="BL180" s="647"/>
      <c r="BM180" s="647"/>
      <c r="BN180" s="647"/>
      <c r="BO180" s="647"/>
      <c r="BP180" s="647"/>
      <c r="BQ180" s="647"/>
      <c r="BR180" s="647"/>
      <c r="BS180" s="647"/>
      <c r="BT180" s="647"/>
      <c r="BU180" s="647"/>
      <c r="BV180" s="647"/>
      <c r="BW180" s="647"/>
      <c r="BX180" s="647"/>
      <c r="BY180" s="647"/>
      <c r="BZ180" s="647"/>
      <c r="CA180" s="647"/>
      <c r="CB180" s="647"/>
      <c r="CC180" s="647"/>
      <c r="CD180" s="647"/>
      <c r="CE180" s="647"/>
      <c r="CF180" s="647"/>
      <c r="CG180" s="647"/>
      <c r="CH180" s="647"/>
      <c r="CI180" s="647"/>
      <c r="CJ180" s="647"/>
      <c r="CK180" s="647"/>
      <c r="CL180" s="647"/>
      <c r="CM180" s="647"/>
      <c r="CN180" s="647"/>
    </row>
    <row r="181" spans="1:92">
      <c r="A181" s="647"/>
      <c r="B181" s="663" t="s">
        <v>1076</v>
      </c>
      <c r="C181" s="663" t="s">
        <v>1077</v>
      </c>
      <c r="D181" s="664">
        <v>0</v>
      </c>
      <c r="E181" s="665">
        <v>0</v>
      </c>
      <c r="F181" s="647"/>
      <c r="G181" s="647"/>
      <c r="H181" s="647"/>
      <c r="I181" s="647"/>
      <c r="J181" s="647"/>
      <c r="K181" s="647"/>
      <c r="L181" s="647"/>
      <c r="M181" s="647"/>
      <c r="N181" s="647"/>
      <c r="O181" s="647"/>
      <c r="P181" s="647"/>
      <c r="Q181" s="647"/>
      <c r="R181" s="647"/>
      <c r="S181" s="647"/>
      <c r="T181" s="647"/>
      <c r="U181" s="647"/>
      <c r="V181" s="647"/>
      <c r="W181" s="647"/>
      <c r="X181" s="647"/>
      <c r="Y181" s="647"/>
      <c r="Z181" s="647"/>
      <c r="AA181" s="647"/>
      <c r="AB181" s="647"/>
      <c r="AC181" s="647"/>
      <c r="AD181" s="647"/>
      <c r="AE181" s="647"/>
      <c r="AF181" s="647"/>
      <c r="AG181" s="647"/>
      <c r="AH181" s="647"/>
      <c r="AI181" s="647"/>
      <c r="AJ181" s="647"/>
      <c r="AK181" s="647"/>
      <c r="AL181" s="647"/>
      <c r="AM181" s="647"/>
      <c r="AN181" s="647"/>
      <c r="AO181" s="647"/>
      <c r="AP181" s="647"/>
      <c r="AQ181" s="647"/>
      <c r="AR181" s="647"/>
      <c r="AS181" s="647"/>
      <c r="AT181" s="647"/>
      <c r="AU181" s="647"/>
      <c r="AV181" s="647"/>
      <c r="AW181" s="647"/>
      <c r="AX181" s="647"/>
      <c r="AY181" s="647"/>
      <c r="AZ181" s="647"/>
      <c r="BA181" s="647"/>
      <c r="BB181" s="647"/>
      <c r="BC181" s="647"/>
      <c r="BD181" s="647"/>
      <c r="BE181" s="647"/>
      <c r="BF181" s="647"/>
      <c r="BG181" s="647"/>
      <c r="BH181" s="647"/>
      <c r="BI181" s="647"/>
      <c r="BJ181" s="647"/>
      <c r="BK181" s="647"/>
      <c r="BL181" s="647"/>
      <c r="BM181" s="647"/>
      <c r="BN181" s="647"/>
      <c r="BO181" s="647"/>
      <c r="BP181" s="647"/>
      <c r="BQ181" s="647"/>
      <c r="BR181" s="647"/>
      <c r="BS181" s="647"/>
      <c r="BT181" s="647"/>
      <c r="BU181" s="647"/>
      <c r="BV181" s="647"/>
      <c r="BW181" s="647"/>
      <c r="BX181" s="647"/>
      <c r="BY181" s="647"/>
      <c r="BZ181" s="647"/>
      <c r="CA181" s="647"/>
      <c r="CB181" s="647"/>
      <c r="CC181" s="647"/>
      <c r="CD181" s="647"/>
      <c r="CE181" s="647"/>
      <c r="CF181" s="647"/>
      <c r="CG181" s="647"/>
      <c r="CH181" s="647"/>
      <c r="CI181" s="647"/>
      <c r="CJ181" s="647"/>
      <c r="CK181" s="647"/>
      <c r="CL181" s="647"/>
      <c r="CM181" s="647"/>
      <c r="CN181" s="647"/>
    </row>
    <row r="182" spans="1:92">
      <c r="A182" s="647"/>
      <c r="B182" s="663" t="s">
        <v>1078</v>
      </c>
      <c r="C182" s="663" t="s">
        <v>1079</v>
      </c>
      <c r="D182" s="664">
        <v>0</v>
      </c>
      <c r="E182" s="665">
        <v>0</v>
      </c>
      <c r="F182" s="647"/>
      <c r="G182" s="647"/>
      <c r="H182" s="647"/>
      <c r="I182" s="647"/>
      <c r="J182" s="647"/>
      <c r="K182" s="647"/>
      <c r="L182" s="647"/>
      <c r="M182" s="647"/>
      <c r="N182" s="647"/>
      <c r="O182" s="647"/>
      <c r="P182" s="647"/>
      <c r="Q182" s="647"/>
      <c r="R182" s="647"/>
      <c r="S182" s="647"/>
      <c r="T182" s="647"/>
      <c r="U182" s="647"/>
      <c r="V182" s="647"/>
      <c r="W182" s="647"/>
      <c r="X182" s="647"/>
      <c r="Y182" s="647"/>
      <c r="Z182" s="647"/>
      <c r="AA182" s="647"/>
      <c r="AB182" s="647"/>
      <c r="AC182" s="647"/>
      <c r="AD182" s="647"/>
      <c r="AE182" s="647"/>
      <c r="AF182" s="647"/>
      <c r="AG182" s="647"/>
      <c r="AH182" s="647"/>
      <c r="AI182" s="647"/>
      <c r="AJ182" s="647"/>
      <c r="AK182" s="647"/>
      <c r="AL182" s="647"/>
      <c r="AM182" s="647"/>
      <c r="AN182" s="647"/>
      <c r="AO182" s="647"/>
      <c r="AP182" s="647"/>
      <c r="AQ182" s="647"/>
      <c r="AR182" s="647"/>
      <c r="AS182" s="647"/>
      <c r="AT182" s="647"/>
      <c r="AU182" s="647"/>
      <c r="AV182" s="647"/>
      <c r="AW182" s="647"/>
      <c r="AX182" s="647"/>
      <c r="AY182" s="647"/>
      <c r="AZ182" s="647"/>
      <c r="BA182" s="647"/>
      <c r="BB182" s="647"/>
      <c r="BC182" s="647"/>
      <c r="BD182" s="647"/>
      <c r="BE182" s="647"/>
      <c r="BF182" s="647"/>
      <c r="BG182" s="647"/>
      <c r="BH182" s="647"/>
      <c r="BI182" s="647"/>
      <c r="BJ182" s="647"/>
      <c r="BK182" s="647"/>
      <c r="BL182" s="647"/>
      <c r="BM182" s="647"/>
      <c r="BN182" s="647"/>
      <c r="BO182" s="647"/>
      <c r="BP182" s="647"/>
      <c r="BQ182" s="647"/>
      <c r="BR182" s="647"/>
      <c r="BS182" s="647"/>
      <c r="BT182" s="647"/>
      <c r="BU182" s="647"/>
      <c r="BV182" s="647"/>
      <c r="BW182" s="647"/>
      <c r="BX182" s="647"/>
      <c r="BY182" s="647"/>
      <c r="BZ182" s="647"/>
      <c r="CA182" s="647"/>
      <c r="CB182" s="647"/>
      <c r="CC182" s="647"/>
      <c r="CD182" s="647"/>
      <c r="CE182" s="647"/>
      <c r="CF182" s="647"/>
      <c r="CG182" s="647"/>
      <c r="CH182" s="647"/>
      <c r="CI182" s="647"/>
      <c r="CJ182" s="647"/>
      <c r="CK182" s="647"/>
      <c r="CL182" s="647"/>
      <c r="CM182" s="647"/>
      <c r="CN182" s="647"/>
    </row>
    <row r="183" spans="1:92">
      <c r="A183" s="647"/>
      <c r="B183" s="663" t="s">
        <v>1080</v>
      </c>
      <c r="C183" s="663"/>
      <c r="D183" s="664">
        <v>0</v>
      </c>
      <c r="E183" s="665">
        <v>0</v>
      </c>
      <c r="F183" s="647"/>
      <c r="G183" s="647"/>
      <c r="H183" s="647"/>
      <c r="I183" s="647"/>
      <c r="J183" s="647"/>
      <c r="K183" s="647"/>
      <c r="L183" s="647"/>
      <c r="M183" s="647"/>
      <c r="N183" s="647"/>
      <c r="O183" s="647"/>
      <c r="P183" s="647"/>
      <c r="Q183" s="647"/>
      <c r="R183" s="647"/>
      <c r="S183" s="647"/>
      <c r="T183" s="647"/>
      <c r="U183" s="647"/>
      <c r="V183" s="647"/>
      <c r="W183" s="647"/>
      <c r="X183" s="647"/>
      <c r="Y183" s="647"/>
      <c r="Z183" s="647"/>
      <c r="AA183" s="647"/>
      <c r="AB183" s="647"/>
      <c r="AC183" s="647"/>
      <c r="AD183" s="647"/>
      <c r="AE183" s="647"/>
      <c r="AF183" s="647"/>
      <c r="AG183" s="647"/>
      <c r="AH183" s="647"/>
      <c r="AI183" s="647"/>
      <c r="AJ183" s="647"/>
      <c r="AK183" s="647"/>
      <c r="AL183" s="647"/>
      <c r="AM183" s="647"/>
      <c r="AN183" s="647"/>
      <c r="AO183" s="647"/>
      <c r="AP183" s="647"/>
      <c r="AQ183" s="647"/>
      <c r="AR183" s="647"/>
      <c r="AS183" s="647"/>
      <c r="AT183" s="647"/>
      <c r="AU183" s="647"/>
      <c r="AV183" s="647"/>
      <c r="AW183" s="647"/>
      <c r="AX183" s="647"/>
      <c r="AY183" s="647"/>
      <c r="AZ183" s="647"/>
      <c r="BA183" s="647"/>
      <c r="BB183" s="647"/>
      <c r="BC183" s="647"/>
      <c r="BD183" s="647"/>
      <c r="BE183" s="647"/>
      <c r="BF183" s="647"/>
      <c r="BG183" s="647"/>
      <c r="BH183" s="647"/>
      <c r="BI183" s="647"/>
      <c r="BJ183" s="647"/>
      <c r="BK183" s="647"/>
      <c r="BL183" s="647"/>
      <c r="BM183" s="647"/>
      <c r="BN183" s="647"/>
      <c r="BO183" s="647"/>
      <c r="BP183" s="647"/>
      <c r="BQ183" s="647"/>
      <c r="BR183" s="647"/>
      <c r="BS183" s="647"/>
      <c r="BT183" s="647"/>
      <c r="BU183" s="647"/>
      <c r="BV183" s="647"/>
      <c r="BW183" s="647"/>
      <c r="BX183" s="647"/>
      <c r="BY183" s="647"/>
      <c r="BZ183" s="647"/>
      <c r="CA183" s="647"/>
      <c r="CB183" s="647"/>
      <c r="CC183" s="647"/>
      <c r="CD183" s="647"/>
      <c r="CE183" s="647"/>
      <c r="CF183" s="647"/>
      <c r="CG183" s="647"/>
      <c r="CH183" s="647"/>
      <c r="CI183" s="647"/>
      <c r="CJ183" s="647"/>
      <c r="CK183" s="647"/>
      <c r="CL183" s="647"/>
      <c r="CM183" s="647"/>
      <c r="CN183" s="647"/>
    </row>
    <row r="184" spans="1:92">
      <c r="A184" s="647"/>
      <c r="B184" s="663" t="s">
        <v>1007</v>
      </c>
      <c r="C184" s="666" t="s">
        <v>95</v>
      </c>
      <c r="D184" s="664">
        <f>SUM(D178:D183)</f>
        <v>177210.02000000002</v>
      </c>
      <c r="E184" s="665">
        <f>SUM(E178:E183)</f>
        <v>816303.29232500005</v>
      </c>
      <c r="F184" s="647"/>
      <c r="G184" s="647"/>
      <c r="H184" s="647"/>
      <c r="I184" s="647"/>
      <c r="J184" s="647"/>
      <c r="K184" s="647"/>
      <c r="L184" s="647"/>
      <c r="M184" s="647"/>
      <c r="N184" s="647"/>
      <c r="O184" s="647"/>
      <c r="P184" s="647"/>
      <c r="Q184" s="647"/>
      <c r="R184" s="647"/>
      <c r="S184" s="647"/>
      <c r="T184" s="647"/>
      <c r="U184" s="647"/>
      <c r="V184" s="647"/>
      <c r="W184" s="647"/>
      <c r="X184" s="647"/>
      <c r="Y184" s="647"/>
      <c r="Z184" s="647"/>
      <c r="AA184" s="647"/>
      <c r="AB184" s="647"/>
      <c r="AC184" s="647"/>
      <c r="AD184" s="647"/>
      <c r="AE184" s="647"/>
      <c r="AF184" s="647"/>
      <c r="AG184" s="647"/>
      <c r="AH184" s="647"/>
      <c r="AI184" s="647"/>
      <c r="AJ184" s="647"/>
      <c r="AK184" s="647"/>
      <c r="AL184" s="647"/>
      <c r="AM184" s="647"/>
      <c r="AN184" s="647"/>
      <c r="AO184" s="647"/>
      <c r="AP184" s="647"/>
      <c r="AQ184" s="647"/>
      <c r="AR184" s="647"/>
      <c r="AS184" s="647"/>
      <c r="AT184" s="647"/>
      <c r="AU184" s="647"/>
      <c r="AV184" s="647"/>
      <c r="AW184" s="647"/>
      <c r="AX184" s="647"/>
      <c r="AY184" s="647"/>
      <c r="AZ184" s="647"/>
      <c r="BA184" s="647"/>
      <c r="BB184" s="647"/>
      <c r="BC184" s="647"/>
      <c r="BD184" s="647"/>
      <c r="BE184" s="647"/>
      <c r="BF184" s="647"/>
      <c r="BG184" s="647"/>
      <c r="BH184" s="647"/>
      <c r="BI184" s="647"/>
      <c r="BJ184" s="647"/>
      <c r="BK184" s="647"/>
      <c r="BL184" s="647"/>
      <c r="BM184" s="647"/>
      <c r="BN184" s="647"/>
      <c r="BO184" s="647"/>
      <c r="BP184" s="647"/>
      <c r="BQ184" s="647"/>
      <c r="BR184" s="647"/>
      <c r="BS184" s="647"/>
      <c r="BT184" s="647"/>
      <c r="BU184" s="647"/>
      <c r="BV184" s="647"/>
      <c r="BW184" s="647"/>
      <c r="BX184" s="647"/>
      <c r="BY184" s="647"/>
      <c r="BZ184" s="647"/>
      <c r="CA184" s="647"/>
      <c r="CB184" s="647"/>
      <c r="CC184" s="647"/>
      <c r="CD184" s="647"/>
      <c r="CE184" s="647"/>
      <c r="CF184" s="647"/>
      <c r="CG184" s="647"/>
      <c r="CH184" s="647"/>
      <c r="CI184" s="647"/>
      <c r="CJ184" s="647"/>
      <c r="CK184" s="647"/>
      <c r="CL184" s="647"/>
      <c r="CM184" s="647"/>
      <c r="CN184" s="647"/>
    </row>
    <row r="185" spans="1:92">
      <c r="A185" s="647" t="s">
        <v>1007</v>
      </c>
      <c r="B185" s="647" t="s">
        <v>1007</v>
      </c>
      <c r="C185" s="647" t="s">
        <v>1007</v>
      </c>
      <c r="D185" s="647" t="s">
        <v>1007</v>
      </c>
      <c r="F185" s="647"/>
      <c r="G185" s="647"/>
      <c r="H185" s="647"/>
      <c r="I185" s="647"/>
      <c r="J185" s="647"/>
      <c r="K185" s="647"/>
      <c r="L185" s="647"/>
      <c r="M185" s="647"/>
      <c r="N185" s="647"/>
      <c r="O185" s="647"/>
      <c r="P185" s="647"/>
      <c r="Q185" s="647"/>
      <c r="R185" s="647"/>
      <c r="S185" s="647"/>
      <c r="T185" s="647"/>
      <c r="U185" s="647"/>
      <c r="V185" s="647"/>
      <c r="W185" s="647"/>
      <c r="X185" s="647"/>
      <c r="Y185" s="647"/>
      <c r="Z185" s="647"/>
      <c r="AA185" s="647"/>
      <c r="AB185" s="647"/>
      <c r="AC185" s="647"/>
      <c r="AD185" s="647"/>
      <c r="AE185" s="647"/>
      <c r="AF185" s="647"/>
      <c r="AG185" s="647"/>
      <c r="AH185" s="647"/>
      <c r="AI185" s="647"/>
      <c r="AJ185" s="647"/>
      <c r="AK185" s="647"/>
      <c r="AL185" s="647"/>
      <c r="AM185" s="647"/>
      <c r="AN185" s="729"/>
      <c r="AO185" s="729"/>
      <c r="AP185" s="729"/>
      <c r="AQ185" s="729"/>
      <c r="AR185" s="729"/>
      <c r="AS185" s="729"/>
      <c r="AT185" s="729"/>
      <c r="AU185" s="729"/>
      <c r="AV185" s="729"/>
      <c r="AW185" s="729"/>
      <c r="AX185" s="729"/>
      <c r="AY185" s="729"/>
      <c r="AZ185" s="729"/>
      <c r="BA185" s="729"/>
      <c r="BB185" s="729"/>
      <c r="BC185" s="729"/>
      <c r="BD185" s="729"/>
      <c r="BE185" s="729"/>
      <c r="BF185" s="729"/>
      <c r="BG185" s="729"/>
      <c r="BH185" s="729"/>
      <c r="BI185" s="729"/>
      <c r="BJ185" s="729"/>
      <c r="BK185" s="729"/>
      <c r="BL185" s="729"/>
      <c r="BM185" s="729"/>
      <c r="BN185" s="729"/>
      <c r="BO185" s="729"/>
      <c r="BP185" s="729"/>
      <c r="BQ185" s="729"/>
      <c r="BR185" s="729"/>
      <c r="BS185" s="729"/>
      <c r="BT185" s="729"/>
      <c r="BU185" s="729"/>
      <c r="BV185" s="729"/>
      <c r="BW185" s="729"/>
      <c r="BX185" s="729"/>
      <c r="BY185" s="729"/>
      <c r="BZ185" s="729"/>
      <c r="CA185" s="729"/>
      <c r="CB185" s="729"/>
      <c r="CC185" s="729"/>
      <c r="CD185" s="729"/>
      <c r="CE185" s="729"/>
      <c r="CF185" s="729"/>
      <c r="CG185" s="729"/>
      <c r="CH185" s="729"/>
      <c r="CI185" s="729"/>
      <c r="CJ185" s="729"/>
      <c r="CK185" s="729"/>
      <c r="CL185" s="729"/>
      <c r="CM185" s="729"/>
      <c r="CN185" s="729"/>
    </row>
    <row r="186" spans="1:92">
      <c r="A186" s="646" t="s">
        <v>1001</v>
      </c>
      <c r="B186" s="647"/>
      <c r="C186" s="647"/>
      <c r="D186" s="647"/>
      <c r="F186" s="647"/>
      <c r="G186" s="647"/>
      <c r="H186" s="647"/>
      <c r="I186" s="647"/>
      <c r="J186" s="647"/>
      <c r="K186" s="647"/>
      <c r="L186" s="647"/>
      <c r="M186" s="647"/>
      <c r="N186" s="647"/>
      <c r="O186" s="647"/>
      <c r="P186" s="647"/>
      <c r="Q186" s="647"/>
      <c r="R186" s="647"/>
      <c r="S186" s="647"/>
      <c r="T186" s="647"/>
      <c r="U186" s="647"/>
      <c r="V186" s="647"/>
      <c r="W186" s="647"/>
      <c r="X186" s="647"/>
      <c r="Y186" s="647"/>
      <c r="Z186" s="647"/>
      <c r="AA186" s="647"/>
      <c r="AB186" s="647"/>
      <c r="AC186" s="647"/>
      <c r="AD186" s="647"/>
      <c r="AE186" s="647"/>
      <c r="AF186" s="647"/>
      <c r="AG186" s="647"/>
      <c r="AH186" s="647"/>
      <c r="AI186" s="647"/>
      <c r="AJ186" s="647"/>
      <c r="AK186" s="647"/>
      <c r="AL186" s="647"/>
      <c r="AM186" s="647"/>
      <c r="AN186" s="647"/>
      <c r="AO186" s="647"/>
      <c r="AP186" s="647"/>
      <c r="AQ186" s="647"/>
      <c r="AR186" s="647"/>
      <c r="AS186" s="647"/>
      <c r="AT186" s="647"/>
      <c r="AU186" s="647"/>
      <c r="AV186" s="647"/>
      <c r="AW186" s="647"/>
      <c r="AX186" s="647"/>
      <c r="AY186" s="647"/>
      <c r="AZ186" s="647"/>
      <c r="BA186" s="647"/>
      <c r="BB186" s="647"/>
      <c r="BC186" s="647"/>
      <c r="BD186" s="647"/>
      <c r="BE186" s="647"/>
      <c r="BF186" s="647"/>
      <c r="BG186" s="647"/>
      <c r="BH186" s="647"/>
      <c r="BI186" s="647"/>
      <c r="BJ186" s="647"/>
      <c r="BK186" s="647"/>
      <c r="BL186" s="647"/>
      <c r="BM186" s="647"/>
      <c r="BN186" s="647"/>
      <c r="BO186" s="647"/>
      <c r="BP186" s="647"/>
      <c r="BQ186" s="647"/>
      <c r="BR186" s="647"/>
      <c r="BS186" s="647"/>
      <c r="BT186" s="647"/>
      <c r="BU186" s="647"/>
      <c r="BV186" s="647"/>
      <c r="BW186" s="647"/>
      <c r="BX186" s="647"/>
      <c r="BY186" s="647"/>
      <c r="BZ186" s="647"/>
      <c r="CA186" s="647"/>
      <c r="CB186" s="647"/>
      <c r="CC186" s="647"/>
      <c r="CD186" s="647"/>
      <c r="CE186" s="647"/>
      <c r="CF186" s="647"/>
      <c r="CG186" s="647"/>
      <c r="CH186" s="647"/>
      <c r="CI186" s="647"/>
      <c r="CJ186" s="647"/>
      <c r="CK186" s="647"/>
      <c r="CL186" s="647"/>
      <c r="CM186" s="647"/>
      <c r="CN186" s="647"/>
    </row>
    <row r="187" spans="1:92">
      <c r="A187" s="647"/>
      <c r="B187" s="646" t="s">
        <v>1081</v>
      </c>
      <c r="C187" s="647"/>
      <c r="D187" s="647"/>
      <c r="F187" s="647"/>
      <c r="G187" s="647"/>
      <c r="H187" s="647"/>
      <c r="I187" s="647"/>
      <c r="J187" s="647"/>
      <c r="K187" s="647"/>
      <c r="L187" s="647"/>
      <c r="M187" s="647"/>
      <c r="N187" s="647"/>
      <c r="O187" s="647"/>
      <c r="P187" s="647"/>
      <c r="Q187" s="647"/>
      <c r="R187" s="647"/>
      <c r="S187" s="647"/>
      <c r="T187" s="647"/>
      <c r="U187" s="647"/>
      <c r="V187" s="647"/>
      <c r="W187" s="647"/>
      <c r="X187" s="647"/>
      <c r="Y187" s="647"/>
      <c r="Z187" s="647"/>
      <c r="AA187" s="647"/>
      <c r="AB187" s="647"/>
      <c r="AC187" s="647"/>
      <c r="AD187" s="647"/>
      <c r="AE187" s="647"/>
      <c r="AF187" s="647"/>
      <c r="AG187" s="647"/>
      <c r="AH187" s="647"/>
      <c r="AI187" s="647"/>
      <c r="AJ187" s="647"/>
      <c r="AK187" s="647"/>
      <c r="AL187" s="647"/>
      <c r="AM187" s="647"/>
      <c r="AN187" s="647"/>
      <c r="AO187" s="647"/>
      <c r="AP187" s="647"/>
      <c r="AQ187" s="647"/>
      <c r="AR187" s="647"/>
      <c r="AS187" s="647"/>
      <c r="AT187" s="647"/>
      <c r="AU187" s="647"/>
      <c r="AV187" s="647"/>
      <c r="AW187" s="647"/>
      <c r="AX187" s="647"/>
      <c r="AY187" s="647"/>
      <c r="AZ187" s="647"/>
      <c r="BA187" s="647"/>
      <c r="BB187" s="647"/>
      <c r="BC187" s="647"/>
      <c r="BD187" s="647"/>
      <c r="BE187" s="647"/>
      <c r="BF187" s="647"/>
      <c r="BG187" s="647"/>
      <c r="BH187" s="647"/>
      <c r="BI187" s="647"/>
      <c r="BJ187" s="647"/>
      <c r="BK187" s="647"/>
      <c r="BL187" s="647"/>
      <c r="BM187" s="647"/>
      <c r="BN187" s="647"/>
      <c r="BO187" s="647"/>
      <c r="BP187" s="647"/>
      <c r="BQ187" s="647"/>
      <c r="BR187" s="647"/>
      <c r="BS187" s="647"/>
      <c r="BT187" s="647"/>
      <c r="BU187" s="647"/>
      <c r="BV187" s="647"/>
      <c r="BW187" s="647"/>
      <c r="BX187" s="647"/>
      <c r="BY187" s="647"/>
      <c r="BZ187" s="647"/>
      <c r="CA187" s="647"/>
      <c r="CB187" s="647"/>
      <c r="CC187" s="647"/>
      <c r="CD187" s="647"/>
      <c r="CE187" s="647"/>
      <c r="CF187" s="647"/>
      <c r="CG187" s="647"/>
      <c r="CH187" s="647"/>
      <c r="CI187" s="647"/>
      <c r="CJ187" s="647"/>
      <c r="CK187" s="647"/>
      <c r="CL187" s="647"/>
      <c r="CM187" s="647"/>
      <c r="CN187" s="647"/>
    </row>
    <row r="188" spans="1:92">
      <c r="A188" s="647"/>
      <c r="B188" s="647"/>
      <c r="C188" s="647"/>
      <c r="D188" s="647"/>
      <c r="F188" s="647"/>
      <c r="G188" s="660"/>
      <c r="H188" s="647"/>
      <c r="I188" s="647"/>
      <c r="J188" s="647"/>
      <c r="K188" s="647"/>
      <c r="L188" s="647"/>
      <c r="M188" s="647"/>
      <c r="N188" s="647"/>
      <c r="O188" s="647"/>
      <c r="P188" s="647"/>
      <c r="Q188" s="647"/>
      <c r="R188" s="647"/>
      <c r="S188" s="647"/>
      <c r="T188" s="647"/>
      <c r="U188" s="647"/>
      <c r="V188" s="647"/>
      <c r="W188" s="647"/>
      <c r="X188" s="647"/>
      <c r="Y188" s="647"/>
      <c r="Z188" s="647"/>
      <c r="AA188" s="647"/>
      <c r="AB188" s="647"/>
      <c r="AC188" s="647"/>
      <c r="AD188" s="647"/>
      <c r="AE188" s="647"/>
      <c r="AF188" s="647"/>
      <c r="AG188" s="647"/>
      <c r="AH188" s="647"/>
      <c r="AI188" s="647"/>
      <c r="AJ188" s="647"/>
      <c r="AK188" s="647"/>
      <c r="AL188" s="647"/>
      <c r="AM188" s="647"/>
      <c r="AN188" s="647"/>
      <c r="AO188" s="647"/>
      <c r="AP188" s="647"/>
      <c r="AQ188" s="647"/>
      <c r="AR188" s="647"/>
      <c r="AS188" s="647"/>
      <c r="AT188" s="647"/>
      <c r="AU188" s="647"/>
      <c r="AV188" s="647"/>
      <c r="AW188" s="647"/>
      <c r="AX188" s="647"/>
      <c r="AY188" s="647"/>
      <c r="AZ188" s="647"/>
      <c r="BA188" s="647"/>
      <c r="BB188" s="647"/>
      <c r="BC188" s="647"/>
      <c r="BD188" s="647"/>
      <c r="BE188" s="647"/>
      <c r="BF188" s="647"/>
      <c r="BG188" s="647"/>
      <c r="BH188" s="647"/>
      <c r="BI188" s="647"/>
      <c r="BJ188" s="647"/>
      <c r="BK188" s="647"/>
      <c r="BL188" s="647"/>
      <c r="BM188" s="647"/>
      <c r="BN188" s="647"/>
      <c r="BO188" s="647"/>
      <c r="BP188" s="647"/>
      <c r="BQ188" s="647"/>
      <c r="BR188" s="647"/>
      <c r="BS188" s="647"/>
      <c r="BT188" s="647"/>
      <c r="BU188" s="647"/>
      <c r="BV188" s="647"/>
      <c r="BW188" s="647"/>
      <c r="BX188" s="647"/>
      <c r="BY188" s="647"/>
      <c r="BZ188" s="647"/>
      <c r="CA188" s="647"/>
      <c r="CB188" s="647"/>
      <c r="CC188" s="647"/>
      <c r="CD188" s="647"/>
      <c r="CE188" s="647"/>
      <c r="CF188" s="647"/>
      <c r="CG188" s="647"/>
      <c r="CH188" s="647"/>
      <c r="CI188" s="647"/>
      <c r="CJ188" s="647"/>
      <c r="CK188" s="647"/>
      <c r="CL188" s="647"/>
      <c r="CM188" s="647"/>
      <c r="CN188" s="647"/>
    </row>
    <row r="189" spans="1:92">
      <c r="A189" s="647"/>
      <c r="B189" s="661" t="s">
        <v>99</v>
      </c>
      <c r="C189" s="661" t="s">
        <v>65</v>
      </c>
      <c r="D189" s="661" t="s">
        <v>1082</v>
      </c>
      <c r="E189" s="662" t="s">
        <v>1083</v>
      </c>
      <c r="F189" s="661" t="s">
        <v>1082</v>
      </c>
      <c r="G189" s="661" t="s">
        <v>1083</v>
      </c>
      <c r="H189" s="647"/>
      <c r="I189" s="647"/>
      <c r="J189" s="647"/>
      <c r="K189" s="647"/>
      <c r="L189" s="647"/>
      <c r="M189" s="647"/>
      <c r="N189" s="647"/>
      <c r="O189" s="647"/>
      <c r="P189" s="647"/>
      <c r="Q189" s="647"/>
      <c r="R189" s="647"/>
      <c r="S189" s="647"/>
      <c r="T189" s="647"/>
      <c r="U189" s="647"/>
      <c r="V189" s="647"/>
      <c r="W189" s="647"/>
      <c r="X189" s="647"/>
      <c r="Y189" s="647"/>
      <c r="Z189" s="647"/>
      <c r="AA189" s="647"/>
      <c r="AB189" s="647"/>
      <c r="AC189" s="647"/>
      <c r="AD189" s="647"/>
      <c r="AE189" s="647"/>
      <c r="AF189" s="647"/>
      <c r="AG189" s="647"/>
      <c r="AH189" s="647"/>
      <c r="AI189" s="647"/>
      <c r="AJ189" s="647"/>
      <c r="AK189" s="647"/>
      <c r="AL189" s="647"/>
      <c r="AM189" s="647"/>
      <c r="AN189" s="647"/>
      <c r="AO189" s="647"/>
      <c r="AP189" s="647"/>
      <c r="AQ189" s="647"/>
      <c r="AR189" s="647"/>
      <c r="AS189" s="647"/>
      <c r="AT189" s="647"/>
      <c r="AU189" s="647"/>
      <c r="AV189" s="647"/>
      <c r="AW189" s="647"/>
      <c r="AX189" s="647"/>
      <c r="AY189" s="647"/>
      <c r="AZ189" s="647"/>
      <c r="BA189" s="647"/>
      <c r="BB189" s="647"/>
      <c r="BC189" s="647"/>
      <c r="BD189" s="647"/>
      <c r="BE189" s="647"/>
      <c r="BF189" s="647"/>
      <c r="BG189" s="647"/>
      <c r="BH189" s="647"/>
      <c r="BI189" s="647"/>
      <c r="BJ189" s="647"/>
      <c r="BK189" s="647"/>
      <c r="BL189" s="647"/>
      <c r="BM189" s="647"/>
      <c r="BN189" s="647"/>
      <c r="BO189" s="647"/>
      <c r="BP189" s="647"/>
      <c r="BQ189" s="647"/>
      <c r="BR189" s="647"/>
      <c r="BS189" s="647"/>
      <c r="BT189" s="647"/>
      <c r="BU189" s="647"/>
      <c r="BV189" s="647"/>
      <c r="BW189" s="647"/>
      <c r="BX189" s="647"/>
      <c r="BY189" s="647"/>
      <c r="BZ189" s="647"/>
      <c r="CA189" s="647"/>
      <c r="CB189" s="647"/>
      <c r="CC189" s="647"/>
      <c r="CD189" s="647"/>
      <c r="CE189" s="647"/>
      <c r="CF189" s="647"/>
      <c r="CG189" s="647"/>
      <c r="CH189" s="647"/>
      <c r="CI189" s="647"/>
      <c r="CJ189" s="647"/>
      <c r="CK189" s="647"/>
      <c r="CL189" s="647"/>
      <c r="CM189" s="647"/>
      <c r="CN189" s="647"/>
    </row>
    <row r="190" spans="1:92" ht="24">
      <c r="A190" s="647"/>
      <c r="B190" s="663" t="s">
        <v>1027</v>
      </c>
      <c r="C190" s="663" t="s">
        <v>1069</v>
      </c>
      <c r="D190" s="664">
        <v>0</v>
      </c>
      <c r="E190" s="665">
        <v>0</v>
      </c>
      <c r="F190" s="664">
        <v>0</v>
      </c>
      <c r="G190" s="664">
        <v>0</v>
      </c>
      <c r="H190" s="647"/>
      <c r="I190" s="647"/>
      <c r="J190" s="647"/>
      <c r="K190" s="647"/>
      <c r="L190" s="647"/>
      <c r="M190" s="647"/>
      <c r="N190" s="647"/>
      <c r="O190" s="647"/>
      <c r="P190" s="647"/>
      <c r="Q190" s="647"/>
      <c r="R190" s="647"/>
      <c r="S190" s="647"/>
      <c r="T190" s="647"/>
      <c r="U190" s="647"/>
      <c r="V190" s="647"/>
      <c r="W190" s="647"/>
      <c r="X190" s="647"/>
      <c r="Y190" s="647"/>
      <c r="Z190" s="647"/>
      <c r="AA190" s="647"/>
      <c r="AB190" s="647"/>
      <c r="AC190" s="647"/>
      <c r="AD190" s="647"/>
      <c r="AE190" s="647"/>
      <c r="AF190" s="647"/>
      <c r="AG190" s="647"/>
      <c r="AH190" s="647"/>
      <c r="AI190" s="647"/>
      <c r="AJ190" s="647"/>
      <c r="AK190" s="647"/>
      <c r="AL190" s="647"/>
      <c r="AM190" s="647"/>
      <c r="AN190" s="647"/>
      <c r="AO190" s="647"/>
      <c r="AP190" s="647"/>
      <c r="AQ190" s="647"/>
      <c r="AR190" s="647"/>
      <c r="AS190" s="647"/>
      <c r="AT190" s="647"/>
      <c r="AU190" s="647"/>
      <c r="AV190" s="647"/>
      <c r="AW190" s="647"/>
      <c r="AX190" s="647"/>
      <c r="AY190" s="647"/>
      <c r="AZ190" s="647"/>
      <c r="BA190" s="647"/>
      <c r="BB190" s="647"/>
      <c r="BC190" s="647"/>
      <c r="BD190" s="647"/>
      <c r="BE190" s="647"/>
      <c r="BF190" s="647"/>
      <c r="BG190" s="647"/>
      <c r="BH190" s="647"/>
      <c r="BI190" s="647"/>
      <c r="BJ190" s="647"/>
      <c r="BK190" s="647"/>
      <c r="BL190" s="647"/>
      <c r="BM190" s="647"/>
      <c r="BN190" s="647"/>
      <c r="BO190" s="647"/>
      <c r="BP190" s="647"/>
      <c r="BQ190" s="647"/>
      <c r="BR190" s="647"/>
      <c r="BS190" s="647"/>
      <c r="BT190" s="647"/>
      <c r="BU190" s="647"/>
      <c r="BV190" s="647"/>
      <c r="BW190" s="647"/>
      <c r="BX190" s="647"/>
      <c r="BY190" s="647"/>
      <c r="BZ190" s="647"/>
      <c r="CA190" s="647"/>
      <c r="CB190" s="647"/>
      <c r="CC190" s="647"/>
      <c r="CD190" s="647"/>
      <c r="CE190" s="647"/>
      <c r="CF190" s="647"/>
      <c r="CG190" s="647"/>
      <c r="CH190" s="647"/>
      <c r="CI190" s="647"/>
      <c r="CJ190" s="647"/>
      <c r="CK190" s="647"/>
      <c r="CL190" s="647"/>
      <c r="CM190" s="647"/>
      <c r="CN190" s="647"/>
    </row>
    <row r="191" spans="1:92">
      <c r="A191" s="647"/>
      <c r="B191" s="663" t="s">
        <v>1010</v>
      </c>
      <c r="C191" s="663" t="s">
        <v>1070</v>
      </c>
      <c r="D191" s="664">
        <v>0</v>
      </c>
      <c r="E191" s="665">
        <v>0</v>
      </c>
      <c r="F191" s="664">
        <v>0</v>
      </c>
      <c r="G191" s="664">
        <v>0</v>
      </c>
      <c r="H191" s="647"/>
      <c r="I191" s="647"/>
      <c r="J191" s="647"/>
      <c r="K191" s="647"/>
      <c r="L191" s="647"/>
      <c r="M191" s="647"/>
      <c r="N191" s="647"/>
      <c r="O191" s="647"/>
      <c r="P191" s="647"/>
      <c r="Q191" s="647"/>
      <c r="R191" s="647"/>
      <c r="S191" s="647"/>
      <c r="T191" s="647"/>
      <c r="U191" s="647"/>
      <c r="V191" s="647"/>
      <c r="W191" s="647"/>
      <c r="X191" s="647"/>
      <c r="Y191" s="647"/>
      <c r="Z191" s="647"/>
      <c r="AA191" s="647"/>
      <c r="AB191" s="647"/>
      <c r="AC191" s="647"/>
      <c r="AD191" s="647"/>
      <c r="AE191" s="647"/>
      <c r="AF191" s="647"/>
      <c r="AG191" s="647"/>
      <c r="AH191" s="647"/>
      <c r="AI191" s="647"/>
      <c r="AJ191" s="647"/>
      <c r="AK191" s="647"/>
      <c r="AL191" s="647"/>
      <c r="AM191" s="647"/>
      <c r="AN191" s="647"/>
      <c r="AO191" s="647"/>
      <c r="AP191" s="647"/>
      <c r="AQ191" s="647"/>
      <c r="AR191" s="647"/>
      <c r="AS191" s="647"/>
      <c r="AT191" s="647"/>
      <c r="AU191" s="647"/>
      <c r="AV191" s="647"/>
      <c r="AW191" s="647"/>
      <c r="AX191" s="647"/>
      <c r="AY191" s="647"/>
      <c r="AZ191" s="647"/>
      <c r="BA191" s="647"/>
      <c r="BB191" s="647"/>
      <c r="BC191" s="647"/>
      <c r="BD191" s="647"/>
      <c r="BE191" s="647"/>
      <c r="BF191" s="647"/>
      <c r="BG191" s="647"/>
      <c r="BH191" s="647"/>
      <c r="BI191" s="647"/>
      <c r="BJ191" s="647"/>
      <c r="BK191" s="647"/>
      <c r="BL191" s="647"/>
      <c r="BM191" s="647"/>
      <c r="BN191" s="647"/>
      <c r="BO191" s="647"/>
      <c r="BP191" s="647"/>
      <c r="BQ191" s="647"/>
      <c r="BR191" s="647"/>
      <c r="BS191" s="647"/>
      <c r="BT191" s="647"/>
      <c r="BU191" s="647"/>
      <c r="BV191" s="647"/>
      <c r="BW191" s="647"/>
      <c r="BX191" s="647"/>
      <c r="BY191" s="647"/>
      <c r="BZ191" s="647"/>
      <c r="CA191" s="647"/>
      <c r="CB191" s="647"/>
      <c r="CC191" s="647"/>
      <c r="CD191" s="647"/>
      <c r="CE191" s="647"/>
      <c r="CF191" s="647"/>
      <c r="CG191" s="647"/>
      <c r="CH191" s="647"/>
      <c r="CI191" s="647"/>
      <c r="CJ191" s="647"/>
      <c r="CK191" s="647"/>
      <c r="CL191" s="647"/>
      <c r="CM191" s="647"/>
      <c r="CN191" s="647"/>
    </row>
    <row r="192" spans="1:92" ht="24">
      <c r="A192" s="647"/>
      <c r="B192" s="663" t="s">
        <v>1071</v>
      </c>
      <c r="C192" s="663" t="s">
        <v>1084</v>
      </c>
      <c r="D192" s="664">
        <v>4000000</v>
      </c>
      <c r="E192" s="665">
        <v>0</v>
      </c>
      <c r="F192" s="664"/>
      <c r="G192" s="664">
        <v>0</v>
      </c>
      <c r="H192" s="647"/>
      <c r="I192" s="647"/>
      <c r="J192" s="647"/>
      <c r="K192" s="647"/>
      <c r="L192" s="647"/>
      <c r="M192" s="647"/>
      <c r="N192" s="647"/>
      <c r="O192" s="647"/>
      <c r="P192" s="647"/>
      <c r="Q192" s="647"/>
      <c r="R192" s="647"/>
      <c r="S192" s="647"/>
      <c r="T192" s="647"/>
      <c r="U192" s="647"/>
      <c r="V192" s="647"/>
      <c r="W192" s="647"/>
      <c r="X192" s="647"/>
      <c r="Y192" s="647"/>
      <c r="Z192" s="647"/>
      <c r="AA192" s="647"/>
      <c r="AB192" s="647"/>
      <c r="AC192" s="647"/>
      <c r="AD192" s="647"/>
      <c r="AE192" s="647"/>
      <c r="AF192" s="647"/>
      <c r="AG192" s="647"/>
      <c r="AH192" s="647"/>
      <c r="AI192" s="647"/>
      <c r="AJ192" s="647"/>
      <c r="AK192" s="647"/>
      <c r="AL192" s="647"/>
      <c r="AM192" s="647"/>
      <c r="AN192" s="647"/>
      <c r="AO192" s="647"/>
      <c r="AP192" s="647"/>
      <c r="AQ192" s="647"/>
      <c r="AR192" s="647"/>
      <c r="AS192" s="647"/>
      <c r="AT192" s="647"/>
      <c r="AU192" s="647"/>
      <c r="AV192" s="647"/>
      <c r="AW192" s="647"/>
      <c r="AX192" s="647"/>
      <c r="AY192" s="647"/>
      <c r="AZ192" s="647"/>
      <c r="BA192" s="647"/>
      <c r="BB192" s="647"/>
      <c r="BC192" s="647"/>
      <c r="BD192" s="647"/>
      <c r="BE192" s="647"/>
      <c r="BF192" s="647"/>
      <c r="BG192" s="647"/>
      <c r="BH192" s="647"/>
      <c r="BI192" s="647"/>
      <c r="BJ192" s="647"/>
      <c r="BK192" s="647"/>
      <c r="BL192" s="647"/>
      <c r="BM192" s="647"/>
      <c r="BN192" s="647"/>
      <c r="BO192" s="647"/>
      <c r="BP192" s="647"/>
      <c r="BQ192" s="647"/>
      <c r="BR192" s="647"/>
      <c r="BS192" s="647"/>
      <c r="BT192" s="647"/>
      <c r="BU192" s="647"/>
      <c r="BV192" s="647"/>
      <c r="BW192" s="647"/>
      <c r="BX192" s="647"/>
      <c r="BY192" s="647"/>
      <c r="BZ192" s="647"/>
      <c r="CA192" s="647"/>
      <c r="CB192" s="647"/>
      <c r="CC192" s="647"/>
      <c r="CD192" s="647"/>
      <c r="CE192" s="647"/>
      <c r="CF192" s="647"/>
      <c r="CG192" s="647"/>
      <c r="CH192" s="647"/>
      <c r="CI192" s="647"/>
      <c r="CJ192" s="647"/>
      <c r="CK192" s="647"/>
      <c r="CL192" s="647"/>
      <c r="CM192" s="647"/>
      <c r="CN192" s="647"/>
    </row>
    <row r="193" spans="1:92">
      <c r="A193" s="647"/>
      <c r="B193" s="663" t="s">
        <v>1007</v>
      </c>
      <c r="C193" s="666" t="s">
        <v>95</v>
      </c>
      <c r="D193" s="664">
        <f>SUM(D190:D192)</f>
        <v>4000000</v>
      </c>
      <c r="E193" s="665">
        <v>0</v>
      </c>
      <c r="F193" s="664">
        <f>SUM(F190:F192)</f>
        <v>0</v>
      </c>
      <c r="G193" s="664">
        <v>0</v>
      </c>
      <c r="H193" s="647"/>
      <c r="I193" s="647"/>
      <c r="J193" s="647"/>
      <c r="K193" s="647"/>
      <c r="L193" s="647"/>
      <c r="M193" s="647"/>
      <c r="N193" s="647"/>
      <c r="O193" s="647"/>
      <c r="P193" s="647"/>
      <c r="Q193" s="647"/>
      <c r="R193" s="647"/>
      <c r="S193" s="647"/>
      <c r="T193" s="647"/>
      <c r="U193" s="647"/>
      <c r="V193" s="647"/>
      <c r="W193" s="647"/>
      <c r="X193" s="647"/>
      <c r="Y193" s="647"/>
      <c r="Z193" s="647"/>
      <c r="AA193" s="647"/>
      <c r="AB193" s="647"/>
      <c r="AC193" s="647"/>
      <c r="AD193" s="647"/>
      <c r="AE193" s="647"/>
      <c r="AF193" s="647"/>
      <c r="AG193" s="647"/>
      <c r="AH193" s="647"/>
      <c r="AI193" s="647"/>
      <c r="AJ193" s="647"/>
      <c r="AK193" s="647"/>
      <c r="AL193" s="647"/>
      <c r="AM193" s="647"/>
      <c r="AN193" s="647"/>
      <c r="AO193" s="647"/>
      <c r="AP193" s="647"/>
      <c r="AQ193" s="647"/>
      <c r="AR193" s="647"/>
      <c r="AS193" s="647"/>
      <c r="AT193" s="647"/>
      <c r="AU193" s="647"/>
      <c r="AV193" s="647"/>
      <c r="AW193" s="647"/>
      <c r="AX193" s="647"/>
      <c r="AY193" s="647"/>
      <c r="AZ193" s="647"/>
      <c r="BA193" s="647"/>
      <c r="BB193" s="647"/>
      <c r="BC193" s="647"/>
      <c r="BD193" s="647"/>
      <c r="BE193" s="647"/>
      <c r="BF193" s="647"/>
      <c r="BG193" s="647"/>
      <c r="BH193" s="647"/>
      <c r="BI193" s="647"/>
      <c r="BJ193" s="647"/>
      <c r="BK193" s="647"/>
      <c r="BL193" s="647"/>
      <c r="BM193" s="647"/>
      <c r="BN193" s="647"/>
      <c r="BO193" s="647"/>
      <c r="BP193" s="647"/>
      <c r="BQ193" s="647"/>
      <c r="BR193" s="647"/>
      <c r="BS193" s="647"/>
      <c r="BT193" s="647"/>
      <c r="BU193" s="647"/>
      <c r="BV193" s="647"/>
      <c r="BW193" s="647"/>
      <c r="BX193" s="647"/>
      <c r="BY193" s="647"/>
      <c r="BZ193" s="647"/>
      <c r="CA193" s="647"/>
      <c r="CB193" s="647"/>
      <c r="CC193" s="647"/>
      <c r="CD193" s="647"/>
      <c r="CE193" s="647"/>
      <c r="CF193" s="647"/>
      <c r="CG193" s="647"/>
      <c r="CH193" s="647"/>
      <c r="CI193" s="647"/>
      <c r="CJ193" s="647"/>
      <c r="CK193" s="647"/>
      <c r="CL193" s="647"/>
      <c r="CM193" s="647"/>
      <c r="CN193" s="647"/>
    </row>
    <row r="194" spans="1:92">
      <c r="A194" s="647" t="s">
        <v>1007</v>
      </c>
      <c r="B194" s="647" t="s">
        <v>1007</v>
      </c>
      <c r="C194" s="647" t="s">
        <v>1007</v>
      </c>
      <c r="D194" s="647" t="s">
        <v>1007</v>
      </c>
      <c r="F194" s="647"/>
      <c r="G194" s="647"/>
      <c r="H194" s="647"/>
      <c r="I194" s="647"/>
      <c r="J194" s="647"/>
      <c r="K194" s="647"/>
      <c r="L194" s="647"/>
      <c r="M194" s="647"/>
      <c r="N194" s="647"/>
      <c r="O194" s="647"/>
      <c r="P194" s="647"/>
      <c r="Q194" s="647"/>
      <c r="R194" s="647"/>
      <c r="S194" s="647"/>
      <c r="T194" s="647"/>
      <c r="U194" s="647"/>
      <c r="V194" s="647"/>
      <c r="W194" s="647"/>
      <c r="X194" s="647"/>
      <c r="Y194" s="647"/>
      <c r="Z194" s="647"/>
      <c r="AA194" s="647"/>
      <c r="AB194" s="647"/>
      <c r="AC194" s="647"/>
      <c r="AD194" s="647"/>
      <c r="AE194" s="647"/>
      <c r="AF194" s="647"/>
      <c r="AG194" s="647"/>
      <c r="AH194" s="647"/>
      <c r="AI194" s="647"/>
      <c r="AJ194" s="647"/>
      <c r="AK194" s="647"/>
      <c r="AL194" s="647"/>
      <c r="AM194" s="647"/>
      <c r="AN194" s="729"/>
      <c r="AO194" s="729"/>
      <c r="AP194" s="729"/>
      <c r="AQ194" s="729"/>
      <c r="AR194" s="729"/>
      <c r="AS194" s="729"/>
      <c r="AT194" s="729"/>
      <c r="AU194" s="729"/>
      <c r="AV194" s="729"/>
      <c r="AW194" s="729"/>
      <c r="AX194" s="729"/>
      <c r="AY194" s="729"/>
      <c r="AZ194" s="729"/>
      <c r="BA194" s="729"/>
      <c r="BB194" s="729"/>
      <c r="BC194" s="729"/>
      <c r="BD194" s="729"/>
      <c r="BE194" s="729"/>
      <c r="BF194" s="729"/>
      <c r="BG194" s="729"/>
      <c r="BH194" s="729"/>
      <c r="BI194" s="729"/>
      <c r="BJ194" s="729"/>
      <c r="BK194" s="729"/>
      <c r="BL194" s="729"/>
      <c r="BM194" s="729"/>
      <c r="BN194" s="729"/>
      <c r="BO194" s="729"/>
      <c r="BP194" s="729"/>
      <c r="BQ194" s="729"/>
      <c r="BR194" s="729"/>
      <c r="BS194" s="729"/>
      <c r="BT194" s="729"/>
      <c r="BU194" s="729"/>
      <c r="BV194" s="729"/>
      <c r="BW194" s="729"/>
      <c r="BX194" s="729"/>
      <c r="BY194" s="729"/>
      <c r="BZ194" s="729"/>
      <c r="CA194" s="729"/>
      <c r="CB194" s="729"/>
      <c r="CC194" s="729"/>
      <c r="CD194" s="729"/>
      <c r="CE194" s="729"/>
      <c r="CF194" s="729"/>
      <c r="CG194" s="729"/>
      <c r="CH194" s="729"/>
      <c r="CI194" s="729"/>
      <c r="CJ194" s="729"/>
      <c r="CK194" s="729"/>
      <c r="CL194" s="729"/>
      <c r="CM194" s="729"/>
      <c r="CN194" s="729"/>
    </row>
    <row r="195" spans="1:92">
      <c r="A195" s="646" t="s">
        <v>1001</v>
      </c>
      <c r="B195" s="647"/>
      <c r="C195" s="647"/>
      <c r="D195" s="647"/>
      <c r="F195" s="647"/>
      <c r="G195" s="647"/>
      <c r="H195" s="647"/>
      <c r="I195" s="647"/>
      <c r="J195" s="647"/>
      <c r="K195" s="647"/>
      <c r="L195" s="647"/>
      <c r="M195" s="647"/>
      <c r="N195" s="647"/>
      <c r="O195" s="647"/>
      <c r="P195" s="647"/>
      <c r="Q195" s="647"/>
      <c r="R195" s="647"/>
      <c r="S195" s="647"/>
      <c r="T195" s="647"/>
      <c r="U195" s="647"/>
      <c r="V195" s="647"/>
      <c r="W195" s="647"/>
      <c r="X195" s="647"/>
      <c r="Y195" s="647"/>
      <c r="Z195" s="647"/>
      <c r="AA195" s="647"/>
      <c r="AB195" s="647"/>
      <c r="AC195" s="647"/>
      <c r="AD195" s="647"/>
      <c r="AE195" s="647"/>
      <c r="AF195" s="647"/>
      <c r="AG195" s="647"/>
      <c r="AH195" s="647"/>
      <c r="AI195" s="647"/>
      <c r="AJ195" s="647"/>
      <c r="AK195" s="647"/>
      <c r="AL195" s="647"/>
      <c r="AM195" s="647"/>
      <c r="AN195" s="647"/>
      <c r="AO195" s="647"/>
      <c r="AP195" s="647"/>
      <c r="AQ195" s="647"/>
      <c r="AR195" s="647"/>
      <c r="AS195" s="647"/>
      <c r="AT195" s="647"/>
      <c r="AU195" s="647"/>
      <c r="AV195" s="647"/>
      <c r="AW195" s="647"/>
      <c r="AX195" s="647"/>
      <c r="AY195" s="647"/>
      <c r="AZ195" s="647"/>
      <c r="BA195" s="647"/>
      <c r="BB195" s="647"/>
      <c r="BC195" s="647"/>
      <c r="BD195" s="647"/>
      <c r="BE195" s="647"/>
      <c r="BF195" s="647"/>
      <c r="BG195" s="647"/>
      <c r="BH195" s="647"/>
      <c r="BI195" s="647"/>
      <c r="BJ195" s="647"/>
      <c r="BK195" s="647"/>
      <c r="BL195" s="647"/>
      <c r="BM195" s="647"/>
      <c r="BN195" s="647"/>
      <c r="BO195" s="647"/>
      <c r="BP195" s="647"/>
      <c r="BQ195" s="647"/>
      <c r="BR195" s="647"/>
      <c r="BS195" s="647"/>
      <c r="BT195" s="647"/>
      <c r="BU195" s="647"/>
      <c r="BV195" s="647"/>
      <c r="BW195" s="647"/>
      <c r="BX195" s="647"/>
      <c r="BY195" s="647"/>
      <c r="BZ195" s="647"/>
      <c r="CA195" s="647"/>
      <c r="CB195" s="647"/>
      <c r="CC195" s="647"/>
      <c r="CD195" s="647"/>
      <c r="CE195" s="647"/>
      <c r="CF195" s="647"/>
      <c r="CG195" s="647"/>
      <c r="CH195" s="647"/>
      <c r="CI195" s="647"/>
      <c r="CJ195" s="647"/>
      <c r="CK195" s="647"/>
      <c r="CL195" s="647"/>
      <c r="CM195" s="647"/>
      <c r="CN195" s="647"/>
    </row>
    <row r="196" spans="1:92">
      <c r="A196" s="647"/>
      <c r="B196" s="646" t="s">
        <v>1085</v>
      </c>
      <c r="C196" s="647"/>
      <c r="D196" s="647"/>
      <c r="F196" s="647"/>
      <c r="G196" s="647"/>
      <c r="H196" s="647"/>
      <c r="I196" s="647"/>
      <c r="J196" s="647"/>
      <c r="K196" s="647"/>
      <c r="L196" s="647"/>
      <c r="M196" s="647"/>
      <c r="N196" s="647"/>
      <c r="O196" s="647"/>
      <c r="P196" s="647"/>
      <c r="Q196" s="647"/>
      <c r="R196" s="647"/>
      <c r="S196" s="647"/>
      <c r="T196" s="647"/>
      <c r="U196" s="647"/>
      <c r="V196" s="647"/>
      <c r="W196" s="647"/>
      <c r="X196" s="647"/>
      <c r="Y196" s="647"/>
      <c r="Z196" s="647"/>
      <c r="AA196" s="647"/>
      <c r="AB196" s="647"/>
      <c r="AC196" s="647"/>
      <c r="AD196" s="647"/>
      <c r="AE196" s="647"/>
      <c r="AF196" s="647"/>
      <c r="AG196" s="647"/>
      <c r="AH196" s="647"/>
      <c r="AI196" s="647"/>
      <c r="AJ196" s="647"/>
      <c r="AK196" s="647"/>
      <c r="AL196" s="647"/>
      <c r="AM196" s="647"/>
      <c r="AN196" s="647"/>
      <c r="AO196" s="647"/>
      <c r="AP196" s="647"/>
      <c r="AQ196" s="647"/>
      <c r="AR196" s="647"/>
      <c r="AS196" s="647"/>
      <c r="AT196" s="647"/>
      <c r="AU196" s="647"/>
      <c r="AV196" s="647"/>
      <c r="AW196" s="647"/>
      <c r="AX196" s="647"/>
      <c r="AY196" s="647"/>
      <c r="AZ196" s="647"/>
      <c r="BA196" s="647"/>
      <c r="BB196" s="647"/>
      <c r="BC196" s="647"/>
      <c r="BD196" s="647"/>
      <c r="BE196" s="647"/>
      <c r="BF196" s="647"/>
      <c r="BG196" s="647"/>
      <c r="BH196" s="647"/>
      <c r="BI196" s="647"/>
      <c r="BJ196" s="647"/>
      <c r="BK196" s="647"/>
      <c r="BL196" s="647"/>
      <c r="BM196" s="647"/>
      <c r="BN196" s="647"/>
      <c r="BO196" s="647"/>
      <c r="BP196" s="647"/>
      <c r="BQ196" s="647"/>
      <c r="BR196" s="647"/>
      <c r="BS196" s="647"/>
      <c r="BT196" s="647"/>
      <c r="BU196" s="647"/>
      <c r="BV196" s="647"/>
      <c r="BW196" s="647"/>
      <c r="BX196" s="647"/>
      <c r="BY196" s="647"/>
      <c r="BZ196" s="647"/>
      <c r="CA196" s="647"/>
      <c r="CB196" s="647"/>
      <c r="CC196" s="647"/>
      <c r="CD196" s="647"/>
      <c r="CE196" s="647"/>
      <c r="CF196" s="647"/>
      <c r="CG196" s="647"/>
      <c r="CH196" s="647"/>
      <c r="CI196" s="647"/>
      <c r="CJ196" s="647"/>
      <c r="CK196" s="647"/>
      <c r="CL196" s="647"/>
      <c r="CM196" s="647"/>
      <c r="CN196" s="647"/>
    </row>
    <row r="197" spans="1:92">
      <c r="A197" s="647"/>
      <c r="B197" s="647"/>
      <c r="C197" s="647"/>
      <c r="D197" s="647"/>
      <c r="F197" s="647"/>
      <c r="G197" s="647"/>
      <c r="H197" s="660"/>
      <c r="I197" s="647"/>
      <c r="J197" s="647"/>
      <c r="K197" s="647"/>
      <c r="L197" s="647"/>
      <c r="M197" s="647"/>
      <c r="N197" s="647"/>
      <c r="O197" s="647"/>
      <c r="P197" s="647"/>
      <c r="Q197" s="647"/>
      <c r="R197" s="647"/>
      <c r="S197" s="647"/>
      <c r="T197" s="647"/>
      <c r="U197" s="647"/>
      <c r="V197" s="647"/>
      <c r="W197" s="647"/>
      <c r="X197" s="647"/>
      <c r="Y197" s="647"/>
      <c r="Z197" s="647"/>
      <c r="AA197" s="647"/>
      <c r="AB197" s="647"/>
      <c r="AC197" s="647"/>
      <c r="AD197" s="647"/>
      <c r="AE197" s="647"/>
      <c r="AF197" s="647"/>
      <c r="AG197" s="647"/>
      <c r="AH197" s="647"/>
      <c r="AI197" s="647"/>
      <c r="AJ197" s="647"/>
      <c r="AK197" s="647"/>
      <c r="AL197" s="647"/>
      <c r="AM197" s="647"/>
      <c r="AN197" s="647"/>
      <c r="AO197" s="647"/>
      <c r="AP197" s="647"/>
      <c r="AQ197" s="647"/>
      <c r="AR197" s="647"/>
      <c r="AS197" s="647"/>
      <c r="AT197" s="647"/>
      <c r="AU197" s="647"/>
      <c r="AV197" s="647"/>
      <c r="AW197" s="647"/>
      <c r="AX197" s="647"/>
      <c r="AY197" s="647"/>
      <c r="AZ197" s="647"/>
      <c r="BA197" s="647"/>
      <c r="BB197" s="647"/>
      <c r="BC197" s="647"/>
      <c r="BD197" s="647"/>
      <c r="BE197" s="647"/>
      <c r="BF197" s="647"/>
      <c r="BG197" s="647"/>
      <c r="BH197" s="647"/>
      <c r="BI197" s="647"/>
      <c r="BJ197" s="647"/>
      <c r="BK197" s="647"/>
      <c r="BL197" s="647"/>
      <c r="BM197" s="647"/>
      <c r="BN197" s="647"/>
      <c r="BO197" s="647"/>
      <c r="BP197" s="647"/>
      <c r="BQ197" s="647"/>
      <c r="BR197" s="647"/>
      <c r="BS197" s="647"/>
      <c r="BT197" s="647"/>
      <c r="BU197" s="647"/>
      <c r="BV197" s="647"/>
      <c r="BW197" s="647"/>
      <c r="BX197" s="647"/>
      <c r="BY197" s="647"/>
      <c r="BZ197" s="647"/>
      <c r="CA197" s="647"/>
      <c r="CB197" s="647"/>
      <c r="CC197" s="647"/>
      <c r="CD197" s="647"/>
      <c r="CE197" s="647"/>
      <c r="CF197" s="647"/>
      <c r="CG197" s="647"/>
      <c r="CH197" s="647"/>
      <c r="CI197" s="647"/>
      <c r="CJ197" s="647"/>
      <c r="CK197" s="647"/>
      <c r="CL197" s="647"/>
      <c r="CM197" s="647"/>
      <c r="CN197" s="647"/>
    </row>
    <row r="198" spans="1:92" ht="36">
      <c r="A198" s="647"/>
      <c r="B198" s="661" t="s">
        <v>99</v>
      </c>
      <c r="C198" s="661" t="s">
        <v>65</v>
      </c>
      <c r="D198" s="661" t="s">
        <v>2</v>
      </c>
      <c r="E198" s="662" t="s">
        <v>1011</v>
      </c>
      <c r="F198" s="661" t="s">
        <v>1086</v>
      </c>
      <c r="G198" s="661" t="s">
        <v>1087</v>
      </c>
      <c r="H198" s="661" t="s">
        <v>2</v>
      </c>
      <c r="I198" s="647"/>
      <c r="J198" s="647"/>
      <c r="K198" s="647"/>
      <c r="L198" s="647"/>
      <c r="M198" s="647"/>
      <c r="N198" s="647"/>
      <c r="O198" s="647"/>
      <c r="P198" s="647"/>
      <c r="Q198" s="647"/>
      <c r="R198" s="647"/>
      <c r="S198" s="647"/>
      <c r="T198" s="647"/>
      <c r="U198" s="647"/>
      <c r="V198" s="647"/>
      <c r="W198" s="647"/>
      <c r="X198" s="647"/>
      <c r="Y198" s="647"/>
      <c r="Z198" s="647"/>
      <c r="AA198" s="647"/>
      <c r="AB198" s="647"/>
      <c r="AC198" s="647"/>
      <c r="AD198" s="647"/>
      <c r="AE198" s="647"/>
      <c r="AF198" s="647"/>
      <c r="AG198" s="647"/>
      <c r="AH198" s="647"/>
      <c r="AI198" s="647"/>
      <c r="AJ198" s="647"/>
      <c r="AK198" s="647"/>
      <c r="AL198" s="647"/>
      <c r="AM198" s="647"/>
      <c r="AN198" s="647"/>
      <c r="AO198" s="647"/>
      <c r="AP198" s="647"/>
      <c r="AQ198" s="647"/>
      <c r="AR198" s="647"/>
      <c r="AS198" s="647"/>
      <c r="AT198" s="647"/>
      <c r="AU198" s="647"/>
      <c r="AV198" s="647"/>
      <c r="AW198" s="647"/>
      <c r="AX198" s="647"/>
      <c r="AY198" s="647"/>
      <c r="AZ198" s="647"/>
      <c r="BA198" s="647"/>
      <c r="BB198" s="647"/>
      <c r="BC198" s="647"/>
      <c r="BD198" s="647"/>
      <c r="BE198" s="647"/>
      <c r="BF198" s="647"/>
      <c r="BG198" s="647"/>
      <c r="BH198" s="647"/>
      <c r="BI198" s="647"/>
      <c r="BJ198" s="647"/>
      <c r="BK198" s="647"/>
      <c r="BL198" s="647"/>
      <c r="BM198" s="647"/>
      <c r="BN198" s="647"/>
      <c r="BO198" s="647"/>
      <c r="BP198" s="647"/>
      <c r="BQ198" s="647"/>
      <c r="BR198" s="647"/>
      <c r="BS198" s="647"/>
      <c r="BT198" s="647"/>
      <c r="BU198" s="647"/>
      <c r="BV198" s="647"/>
      <c r="BW198" s="647"/>
      <c r="BX198" s="647"/>
      <c r="BY198" s="647"/>
      <c r="BZ198" s="647"/>
      <c r="CA198" s="647"/>
      <c r="CB198" s="647"/>
      <c r="CC198" s="647"/>
      <c r="CD198" s="647"/>
      <c r="CE198" s="647"/>
      <c r="CF198" s="647"/>
      <c r="CG198" s="647"/>
      <c r="CH198" s="647"/>
      <c r="CI198" s="647"/>
      <c r="CJ198" s="647"/>
      <c r="CK198" s="647"/>
      <c r="CL198" s="647"/>
      <c r="CM198" s="647"/>
      <c r="CN198" s="647"/>
    </row>
    <row r="199" spans="1:92">
      <c r="A199" s="647"/>
      <c r="B199" s="663" t="s">
        <v>1027</v>
      </c>
      <c r="C199" s="663" t="s">
        <v>1088</v>
      </c>
      <c r="D199" s="664">
        <v>0</v>
      </c>
      <c r="E199" s="665">
        <v>0</v>
      </c>
      <c r="F199" s="664">
        <v>0</v>
      </c>
      <c r="G199" s="664">
        <v>0</v>
      </c>
      <c r="H199" s="664">
        <v>0</v>
      </c>
      <c r="I199" s="647"/>
      <c r="J199" s="647"/>
      <c r="K199" s="647"/>
      <c r="L199" s="647"/>
      <c r="M199" s="647"/>
      <c r="N199" s="647"/>
      <c r="O199" s="647"/>
      <c r="P199" s="647"/>
      <c r="Q199" s="647"/>
      <c r="R199" s="647"/>
      <c r="S199" s="647"/>
      <c r="T199" s="647"/>
      <c r="U199" s="647"/>
      <c r="V199" s="647"/>
      <c r="W199" s="647"/>
      <c r="X199" s="647"/>
      <c r="Y199" s="647"/>
      <c r="Z199" s="647"/>
      <c r="AA199" s="647"/>
      <c r="AB199" s="647"/>
      <c r="AC199" s="647"/>
      <c r="AD199" s="647"/>
      <c r="AE199" s="647"/>
      <c r="AF199" s="647"/>
      <c r="AG199" s="647"/>
      <c r="AH199" s="647"/>
      <c r="AI199" s="647"/>
      <c r="AJ199" s="647"/>
      <c r="AK199" s="647"/>
      <c r="AL199" s="647"/>
      <c r="AM199" s="647"/>
      <c r="AN199" s="647"/>
      <c r="AO199" s="647"/>
      <c r="AP199" s="647"/>
      <c r="AQ199" s="647"/>
      <c r="AR199" s="647"/>
      <c r="AS199" s="647"/>
      <c r="AT199" s="647"/>
      <c r="AU199" s="647"/>
      <c r="AV199" s="647"/>
      <c r="AW199" s="647"/>
      <c r="AX199" s="647"/>
      <c r="AY199" s="647"/>
      <c r="AZ199" s="647"/>
      <c r="BA199" s="647"/>
      <c r="BB199" s="647"/>
      <c r="BC199" s="647"/>
      <c r="BD199" s="647"/>
      <c r="BE199" s="647"/>
      <c r="BF199" s="647"/>
      <c r="BG199" s="647"/>
      <c r="BH199" s="647"/>
      <c r="BI199" s="647"/>
      <c r="BJ199" s="647"/>
      <c r="BK199" s="647"/>
      <c r="BL199" s="647"/>
      <c r="BM199" s="647"/>
      <c r="BN199" s="647"/>
      <c r="BO199" s="647"/>
      <c r="BP199" s="647"/>
      <c r="BQ199" s="647"/>
      <c r="BR199" s="647"/>
      <c r="BS199" s="647"/>
      <c r="BT199" s="647"/>
      <c r="BU199" s="647"/>
      <c r="BV199" s="647"/>
      <c r="BW199" s="647"/>
      <c r="BX199" s="647"/>
      <c r="BY199" s="647"/>
      <c r="BZ199" s="647"/>
      <c r="CA199" s="647"/>
      <c r="CB199" s="647"/>
      <c r="CC199" s="647"/>
      <c r="CD199" s="647"/>
      <c r="CE199" s="647"/>
      <c r="CF199" s="647"/>
      <c r="CG199" s="647"/>
      <c r="CH199" s="647"/>
      <c r="CI199" s="647"/>
      <c r="CJ199" s="647"/>
      <c r="CK199" s="647"/>
      <c r="CL199" s="647"/>
      <c r="CM199" s="647"/>
      <c r="CN199" s="647"/>
    </row>
    <row r="200" spans="1:92">
      <c r="A200" s="647"/>
      <c r="B200" s="663" t="s">
        <v>1010</v>
      </c>
      <c r="C200" s="663" t="s">
        <v>1089</v>
      </c>
      <c r="D200" s="664">
        <v>0</v>
      </c>
      <c r="E200" s="665">
        <v>0</v>
      </c>
      <c r="F200" s="664">
        <v>0</v>
      </c>
      <c r="G200" s="664">
        <v>0</v>
      </c>
      <c r="H200" s="664">
        <v>0</v>
      </c>
      <c r="I200" s="647"/>
      <c r="J200" s="647"/>
      <c r="K200" s="647"/>
      <c r="L200" s="647"/>
      <c r="M200" s="647"/>
      <c r="N200" s="647"/>
      <c r="O200" s="647"/>
      <c r="P200" s="647"/>
      <c r="Q200" s="647"/>
      <c r="R200" s="647"/>
      <c r="S200" s="647"/>
      <c r="T200" s="647"/>
      <c r="U200" s="647"/>
      <c r="V200" s="647"/>
      <c r="W200" s="647"/>
      <c r="X200" s="647"/>
      <c r="Y200" s="647"/>
      <c r="Z200" s="647"/>
      <c r="AA200" s="647"/>
      <c r="AB200" s="647"/>
      <c r="AC200" s="647"/>
      <c r="AD200" s="647"/>
      <c r="AE200" s="647"/>
      <c r="AF200" s="647"/>
      <c r="AG200" s="647"/>
      <c r="AH200" s="647"/>
      <c r="AI200" s="647"/>
      <c r="AJ200" s="647"/>
      <c r="AK200" s="647"/>
      <c r="AL200" s="647"/>
      <c r="AM200" s="647"/>
      <c r="AN200" s="647"/>
      <c r="AO200" s="647"/>
      <c r="AP200" s="647"/>
      <c r="AQ200" s="647"/>
      <c r="AR200" s="647"/>
      <c r="AS200" s="647"/>
      <c r="AT200" s="647"/>
      <c r="AU200" s="647"/>
      <c r="AV200" s="647"/>
      <c r="AW200" s="647"/>
      <c r="AX200" s="647"/>
      <c r="AY200" s="647"/>
      <c r="AZ200" s="647"/>
      <c r="BA200" s="647"/>
      <c r="BB200" s="647"/>
      <c r="BC200" s="647"/>
      <c r="BD200" s="647"/>
      <c r="BE200" s="647"/>
      <c r="BF200" s="647"/>
      <c r="BG200" s="647"/>
      <c r="BH200" s="647"/>
      <c r="BI200" s="647"/>
      <c r="BJ200" s="647"/>
      <c r="BK200" s="647"/>
      <c r="BL200" s="647"/>
      <c r="BM200" s="647"/>
      <c r="BN200" s="647"/>
      <c r="BO200" s="647"/>
      <c r="BP200" s="647"/>
      <c r="BQ200" s="647"/>
      <c r="BR200" s="647"/>
      <c r="BS200" s="647"/>
      <c r="BT200" s="647"/>
      <c r="BU200" s="647"/>
      <c r="BV200" s="647"/>
      <c r="BW200" s="647"/>
      <c r="BX200" s="647"/>
      <c r="BY200" s="647"/>
      <c r="BZ200" s="647"/>
      <c r="CA200" s="647"/>
      <c r="CB200" s="647"/>
      <c r="CC200" s="647"/>
      <c r="CD200" s="647"/>
      <c r="CE200" s="647"/>
      <c r="CF200" s="647"/>
      <c r="CG200" s="647"/>
      <c r="CH200" s="647"/>
      <c r="CI200" s="647"/>
      <c r="CJ200" s="647"/>
      <c r="CK200" s="647"/>
      <c r="CL200" s="647"/>
      <c r="CM200" s="647"/>
      <c r="CN200" s="647"/>
    </row>
    <row r="201" spans="1:92">
      <c r="A201" s="647"/>
      <c r="B201" s="663" t="s">
        <v>1071</v>
      </c>
      <c r="C201" s="663"/>
      <c r="D201" s="664">
        <v>0</v>
      </c>
      <c r="E201" s="665">
        <v>0</v>
      </c>
      <c r="F201" s="664">
        <v>0</v>
      </c>
      <c r="G201" s="664">
        <v>0</v>
      </c>
      <c r="H201" s="664">
        <v>0</v>
      </c>
      <c r="I201" s="647"/>
      <c r="J201" s="647"/>
      <c r="K201" s="647"/>
      <c r="L201" s="647"/>
      <c r="M201" s="647"/>
      <c r="N201" s="647"/>
      <c r="O201" s="647"/>
      <c r="P201" s="647"/>
      <c r="Q201" s="647"/>
      <c r="R201" s="647"/>
      <c r="S201" s="647"/>
      <c r="T201" s="647"/>
      <c r="U201" s="647"/>
      <c r="V201" s="647"/>
      <c r="W201" s="647"/>
      <c r="X201" s="647"/>
      <c r="Y201" s="647"/>
      <c r="Z201" s="647"/>
      <c r="AA201" s="647"/>
      <c r="AB201" s="647"/>
      <c r="AC201" s="647"/>
      <c r="AD201" s="647"/>
      <c r="AE201" s="647"/>
      <c r="AF201" s="647"/>
      <c r="AG201" s="647"/>
      <c r="AH201" s="647"/>
      <c r="AI201" s="647"/>
      <c r="AJ201" s="647"/>
      <c r="AK201" s="647"/>
      <c r="AL201" s="647"/>
      <c r="AM201" s="647"/>
      <c r="AN201" s="647"/>
      <c r="AO201" s="647"/>
      <c r="AP201" s="647"/>
      <c r="AQ201" s="647"/>
      <c r="AR201" s="647"/>
      <c r="AS201" s="647"/>
      <c r="AT201" s="647"/>
      <c r="AU201" s="647"/>
      <c r="AV201" s="647"/>
      <c r="AW201" s="647"/>
      <c r="AX201" s="647"/>
      <c r="AY201" s="647"/>
      <c r="AZ201" s="647"/>
      <c r="BA201" s="647"/>
      <c r="BB201" s="647"/>
      <c r="BC201" s="647"/>
      <c r="BD201" s="647"/>
      <c r="BE201" s="647"/>
      <c r="BF201" s="647"/>
      <c r="BG201" s="647"/>
      <c r="BH201" s="647"/>
      <c r="BI201" s="647"/>
      <c r="BJ201" s="647"/>
      <c r="BK201" s="647"/>
      <c r="BL201" s="647"/>
      <c r="BM201" s="647"/>
      <c r="BN201" s="647"/>
      <c r="BO201" s="647"/>
      <c r="BP201" s="647"/>
      <c r="BQ201" s="647"/>
      <c r="BR201" s="647"/>
      <c r="BS201" s="647"/>
      <c r="BT201" s="647"/>
      <c r="BU201" s="647"/>
      <c r="BV201" s="647"/>
      <c r="BW201" s="647"/>
      <c r="BX201" s="647"/>
      <c r="BY201" s="647"/>
      <c r="BZ201" s="647"/>
      <c r="CA201" s="647"/>
      <c r="CB201" s="647"/>
      <c r="CC201" s="647"/>
      <c r="CD201" s="647"/>
      <c r="CE201" s="647"/>
      <c r="CF201" s="647"/>
      <c r="CG201" s="647"/>
      <c r="CH201" s="647"/>
      <c r="CI201" s="647"/>
      <c r="CJ201" s="647"/>
      <c r="CK201" s="647"/>
      <c r="CL201" s="647"/>
      <c r="CM201" s="647"/>
      <c r="CN201" s="647"/>
    </row>
    <row r="202" spans="1:92">
      <c r="A202" s="647"/>
      <c r="B202" s="663" t="s">
        <v>1007</v>
      </c>
      <c r="C202" s="666" t="s">
        <v>95</v>
      </c>
      <c r="D202" s="664">
        <v>0</v>
      </c>
      <c r="E202" s="665">
        <v>0</v>
      </c>
      <c r="F202" s="664">
        <v>0</v>
      </c>
      <c r="G202" s="664">
        <v>0</v>
      </c>
      <c r="H202" s="664">
        <v>0</v>
      </c>
      <c r="I202" s="647"/>
      <c r="J202" s="647"/>
      <c r="K202" s="647"/>
      <c r="L202" s="647"/>
      <c r="M202" s="647"/>
      <c r="N202" s="647"/>
      <c r="O202" s="647"/>
      <c r="P202" s="647"/>
      <c r="Q202" s="647"/>
      <c r="R202" s="647"/>
      <c r="S202" s="647"/>
      <c r="T202" s="647"/>
      <c r="U202" s="647"/>
      <c r="V202" s="647"/>
      <c r="W202" s="647"/>
      <c r="X202" s="647"/>
      <c r="Y202" s="647"/>
      <c r="Z202" s="647"/>
      <c r="AA202" s="647"/>
      <c r="AB202" s="647"/>
      <c r="AC202" s="647"/>
      <c r="AD202" s="647"/>
      <c r="AE202" s="647"/>
      <c r="AF202" s="647"/>
      <c r="AG202" s="647"/>
      <c r="AH202" s="647"/>
      <c r="AI202" s="647"/>
      <c r="AJ202" s="647"/>
      <c r="AK202" s="647"/>
      <c r="AL202" s="647"/>
      <c r="AM202" s="647"/>
      <c r="AN202" s="647"/>
      <c r="AO202" s="647"/>
      <c r="AP202" s="647"/>
      <c r="AQ202" s="647"/>
      <c r="AR202" s="647"/>
      <c r="AS202" s="647"/>
      <c r="AT202" s="647"/>
      <c r="AU202" s="647"/>
      <c r="AV202" s="647"/>
      <c r="AW202" s="647"/>
      <c r="AX202" s="647"/>
      <c r="AY202" s="647"/>
      <c r="AZ202" s="647"/>
      <c r="BA202" s="647"/>
      <c r="BB202" s="647"/>
      <c r="BC202" s="647"/>
      <c r="BD202" s="647"/>
      <c r="BE202" s="647"/>
      <c r="BF202" s="647"/>
      <c r="BG202" s="647"/>
      <c r="BH202" s="647"/>
      <c r="BI202" s="647"/>
      <c r="BJ202" s="647"/>
      <c r="BK202" s="647"/>
      <c r="BL202" s="647"/>
      <c r="BM202" s="647"/>
      <c r="BN202" s="647"/>
      <c r="BO202" s="647"/>
      <c r="BP202" s="647"/>
      <c r="BQ202" s="647"/>
      <c r="BR202" s="647"/>
      <c r="BS202" s="647"/>
      <c r="BT202" s="647"/>
      <c r="BU202" s="647"/>
      <c r="BV202" s="647"/>
      <c r="BW202" s="647"/>
      <c r="BX202" s="647"/>
      <c r="BY202" s="647"/>
      <c r="BZ202" s="647"/>
      <c r="CA202" s="647"/>
      <c r="CB202" s="647"/>
      <c r="CC202" s="647"/>
      <c r="CD202" s="647"/>
      <c r="CE202" s="647"/>
      <c r="CF202" s="647"/>
      <c r="CG202" s="647"/>
      <c r="CH202" s="647"/>
      <c r="CI202" s="647"/>
      <c r="CJ202" s="647"/>
      <c r="CK202" s="647"/>
      <c r="CL202" s="647"/>
      <c r="CM202" s="647"/>
      <c r="CN202" s="647"/>
    </row>
    <row r="203" spans="1:92">
      <c r="A203" s="647"/>
      <c r="B203" s="646" t="s">
        <v>1032</v>
      </c>
      <c r="C203" s="647"/>
      <c r="D203" s="647"/>
      <c r="F203" s="647"/>
      <c r="G203" s="647"/>
      <c r="H203" s="647"/>
      <c r="I203" s="647"/>
      <c r="J203" s="647"/>
      <c r="K203" s="647"/>
      <c r="L203" s="647"/>
      <c r="M203" s="647"/>
      <c r="N203" s="647"/>
      <c r="O203" s="647"/>
      <c r="P203" s="647"/>
      <c r="Q203" s="647"/>
      <c r="R203" s="647"/>
      <c r="S203" s="647"/>
      <c r="T203" s="647"/>
      <c r="U203" s="647"/>
      <c r="V203" s="647"/>
      <c r="W203" s="647"/>
      <c r="X203" s="647"/>
      <c r="Y203" s="647"/>
      <c r="Z203" s="647"/>
      <c r="AA203" s="647"/>
      <c r="AB203" s="647"/>
      <c r="AC203" s="647"/>
      <c r="AD203" s="647"/>
      <c r="AE203" s="647"/>
      <c r="AF203" s="647"/>
      <c r="AG203" s="647"/>
      <c r="AH203" s="647"/>
      <c r="AI203" s="647"/>
      <c r="AJ203" s="647"/>
      <c r="AK203" s="647"/>
      <c r="AL203" s="647"/>
      <c r="AM203" s="647"/>
      <c r="AN203" s="647"/>
      <c r="AO203" s="647"/>
      <c r="AP203" s="647"/>
      <c r="AQ203" s="647"/>
      <c r="AR203" s="647"/>
      <c r="AS203" s="647"/>
      <c r="AT203" s="647"/>
      <c r="AU203" s="647"/>
      <c r="AV203" s="647"/>
      <c r="AW203" s="647"/>
      <c r="AX203" s="647"/>
      <c r="AY203" s="647"/>
      <c r="AZ203" s="647"/>
      <c r="BA203" s="647"/>
      <c r="BB203" s="647"/>
      <c r="BC203" s="647"/>
      <c r="BD203" s="647"/>
      <c r="BE203" s="647"/>
      <c r="BF203" s="647"/>
      <c r="BG203" s="647"/>
      <c r="BH203" s="647"/>
      <c r="BI203" s="647"/>
      <c r="BJ203" s="647"/>
      <c r="BK203" s="647"/>
      <c r="BL203" s="647"/>
      <c r="BM203" s="647"/>
      <c r="BN203" s="647"/>
      <c r="BO203" s="647"/>
      <c r="BP203" s="647"/>
      <c r="BQ203" s="647"/>
      <c r="BR203" s="647"/>
      <c r="BS203" s="647"/>
      <c r="BT203" s="647"/>
      <c r="BU203" s="647"/>
      <c r="BV203" s="647"/>
      <c r="BW203" s="647"/>
      <c r="BX203" s="647"/>
      <c r="BY203" s="647"/>
      <c r="BZ203" s="647"/>
      <c r="CA203" s="647"/>
      <c r="CB203" s="647"/>
      <c r="CC203" s="647"/>
      <c r="CD203" s="647"/>
      <c r="CE203" s="647"/>
      <c r="CF203" s="647"/>
      <c r="CG203" s="647"/>
      <c r="CH203" s="647"/>
      <c r="CI203" s="647"/>
      <c r="CJ203" s="647"/>
      <c r="CK203" s="647"/>
      <c r="CL203" s="647"/>
      <c r="CM203" s="647"/>
      <c r="CN203" s="647"/>
    </row>
    <row r="204" spans="1:92">
      <c r="A204" s="647"/>
      <c r="B204" s="660" t="s">
        <v>1007</v>
      </c>
      <c r="C204" s="647"/>
      <c r="D204" s="647"/>
      <c r="F204" s="647"/>
      <c r="G204" s="647"/>
      <c r="H204" s="647"/>
      <c r="I204" s="647"/>
      <c r="J204" s="647"/>
      <c r="K204" s="647"/>
      <c r="L204" s="647"/>
      <c r="M204" s="647"/>
      <c r="N204" s="647"/>
      <c r="O204" s="647"/>
      <c r="P204" s="647"/>
      <c r="Q204" s="647"/>
      <c r="R204" s="647"/>
      <c r="S204" s="647"/>
      <c r="T204" s="647"/>
      <c r="U204" s="647"/>
      <c r="V204" s="647"/>
      <c r="W204" s="647"/>
      <c r="X204" s="647"/>
      <c r="Y204" s="647"/>
      <c r="Z204" s="647"/>
      <c r="AA204" s="647"/>
      <c r="AB204" s="647"/>
      <c r="AC204" s="647"/>
      <c r="AD204" s="647"/>
      <c r="AE204" s="647"/>
      <c r="AF204" s="647"/>
      <c r="AG204" s="647"/>
      <c r="AH204" s="647"/>
      <c r="AI204" s="647"/>
      <c r="AJ204" s="647"/>
      <c r="AK204" s="647"/>
      <c r="AL204" s="647"/>
      <c r="AM204" s="647"/>
      <c r="AN204" s="647"/>
      <c r="AO204" s="647"/>
      <c r="AP204" s="647"/>
      <c r="AQ204" s="647"/>
      <c r="AR204" s="647"/>
      <c r="AS204" s="647"/>
      <c r="AT204" s="647"/>
      <c r="AU204" s="647"/>
      <c r="AV204" s="647"/>
      <c r="AW204" s="647"/>
      <c r="AX204" s="647"/>
      <c r="AY204" s="647"/>
      <c r="AZ204" s="647"/>
      <c r="BA204" s="647"/>
      <c r="BB204" s="647"/>
      <c r="BC204" s="647"/>
      <c r="BD204" s="647"/>
      <c r="BE204" s="647"/>
      <c r="BF204" s="647"/>
      <c r="BG204" s="647"/>
      <c r="BH204" s="647"/>
      <c r="BI204" s="647"/>
      <c r="BJ204" s="647"/>
      <c r="BK204" s="647"/>
      <c r="BL204" s="647"/>
      <c r="BM204" s="647"/>
      <c r="BN204" s="647"/>
      <c r="BO204" s="647"/>
      <c r="BP204" s="647"/>
      <c r="BQ204" s="647"/>
      <c r="BR204" s="647"/>
      <c r="BS204" s="647"/>
      <c r="BT204" s="647"/>
      <c r="BU204" s="647"/>
      <c r="BV204" s="647"/>
      <c r="BW204" s="647"/>
      <c r="BX204" s="647"/>
      <c r="BY204" s="647"/>
      <c r="BZ204" s="647"/>
      <c r="CA204" s="647"/>
      <c r="CB204" s="647"/>
      <c r="CC204" s="647"/>
      <c r="CD204" s="647"/>
      <c r="CE204" s="647"/>
      <c r="CF204" s="647"/>
      <c r="CG204" s="647"/>
      <c r="CH204" s="647"/>
      <c r="CI204" s="647"/>
      <c r="CJ204" s="647"/>
      <c r="CK204" s="647"/>
      <c r="CL204" s="647"/>
      <c r="CM204" s="647"/>
      <c r="CN204" s="647"/>
    </row>
    <row r="205" spans="1:92">
      <c r="A205" s="647" t="s">
        <v>1007</v>
      </c>
      <c r="B205" s="647" t="s">
        <v>1007</v>
      </c>
      <c r="C205" s="647" t="s">
        <v>1007</v>
      </c>
      <c r="D205" s="647" t="s">
        <v>1007</v>
      </c>
      <c r="F205" s="647"/>
      <c r="G205" s="647"/>
      <c r="H205" s="647"/>
      <c r="I205" s="647"/>
      <c r="J205" s="647"/>
      <c r="K205" s="647"/>
      <c r="L205" s="647"/>
      <c r="M205" s="647"/>
      <c r="N205" s="647"/>
      <c r="O205" s="647"/>
      <c r="P205" s="647"/>
      <c r="Q205" s="647"/>
      <c r="R205" s="647"/>
      <c r="S205" s="647"/>
      <c r="T205" s="647"/>
      <c r="U205" s="647"/>
      <c r="V205" s="647"/>
      <c r="W205" s="647"/>
      <c r="X205" s="647"/>
      <c r="Y205" s="647"/>
      <c r="Z205" s="647"/>
      <c r="AA205" s="647"/>
      <c r="AB205" s="647"/>
      <c r="AC205" s="647"/>
      <c r="AD205" s="647"/>
      <c r="AE205" s="647"/>
      <c r="AF205" s="647"/>
      <c r="AG205" s="647"/>
      <c r="AH205" s="647"/>
      <c r="AI205" s="647"/>
      <c r="AJ205" s="647"/>
      <c r="AK205" s="647"/>
      <c r="AL205" s="647"/>
      <c r="AM205" s="647"/>
      <c r="AN205" s="729"/>
      <c r="AO205" s="729"/>
      <c r="AP205" s="729"/>
      <c r="AQ205" s="729"/>
      <c r="AR205" s="729"/>
      <c r="AS205" s="729"/>
      <c r="AT205" s="729"/>
      <c r="AU205" s="729"/>
      <c r="AV205" s="729"/>
      <c r="AW205" s="729"/>
      <c r="AX205" s="729"/>
      <c r="AY205" s="729"/>
      <c r="AZ205" s="729"/>
      <c r="BA205" s="729"/>
      <c r="BB205" s="729"/>
      <c r="BC205" s="729"/>
      <c r="BD205" s="729"/>
      <c r="BE205" s="729"/>
      <c r="BF205" s="729"/>
      <c r="BG205" s="729"/>
      <c r="BH205" s="729"/>
      <c r="BI205" s="729"/>
      <c r="BJ205" s="729"/>
      <c r="BK205" s="729"/>
      <c r="BL205" s="729"/>
      <c r="BM205" s="729"/>
      <c r="BN205" s="729"/>
      <c r="BO205" s="729"/>
      <c r="BP205" s="729"/>
      <c r="BQ205" s="729"/>
      <c r="BR205" s="729"/>
      <c r="BS205" s="729"/>
      <c r="BT205" s="729"/>
      <c r="BU205" s="729"/>
      <c r="BV205" s="729"/>
      <c r="BW205" s="729"/>
      <c r="BX205" s="729"/>
      <c r="BY205" s="729"/>
      <c r="BZ205" s="729"/>
      <c r="CA205" s="729"/>
      <c r="CB205" s="729"/>
      <c r="CC205" s="729"/>
      <c r="CD205" s="729"/>
      <c r="CE205" s="729"/>
      <c r="CF205" s="729"/>
      <c r="CG205" s="729"/>
      <c r="CH205" s="729"/>
      <c r="CI205" s="729"/>
      <c r="CJ205" s="729"/>
      <c r="CK205" s="729"/>
      <c r="CL205" s="729"/>
      <c r="CM205" s="729"/>
      <c r="CN205" s="729"/>
    </row>
    <row r="206" spans="1:92">
      <c r="A206" s="646" t="s">
        <v>1001</v>
      </c>
      <c r="B206" s="647"/>
      <c r="C206" s="647"/>
      <c r="D206" s="647"/>
      <c r="F206" s="647"/>
      <c r="G206" s="647"/>
      <c r="H206" s="647"/>
      <c r="I206" s="647"/>
      <c r="J206" s="647"/>
      <c r="K206" s="647"/>
      <c r="L206" s="647"/>
      <c r="M206" s="647"/>
      <c r="N206" s="647"/>
      <c r="O206" s="647"/>
      <c r="P206" s="647"/>
      <c r="Q206" s="647"/>
      <c r="R206" s="647"/>
      <c r="S206" s="647"/>
      <c r="T206" s="647"/>
      <c r="U206" s="647"/>
      <c r="V206" s="647"/>
      <c r="W206" s="647"/>
      <c r="X206" s="647"/>
      <c r="Y206" s="647"/>
      <c r="Z206" s="647"/>
      <c r="AA206" s="647"/>
      <c r="AB206" s="647"/>
      <c r="AC206" s="647"/>
      <c r="AD206" s="647"/>
      <c r="AE206" s="647"/>
      <c r="AF206" s="647"/>
      <c r="AG206" s="647"/>
      <c r="AH206" s="647"/>
      <c r="AI206" s="647"/>
      <c r="AJ206" s="647"/>
      <c r="AK206" s="647"/>
      <c r="AL206" s="647"/>
      <c r="AM206" s="647"/>
      <c r="AN206" s="647"/>
      <c r="AO206" s="647"/>
      <c r="AP206" s="647"/>
      <c r="AQ206" s="647"/>
      <c r="AR206" s="647"/>
      <c r="AS206" s="647"/>
      <c r="AT206" s="647"/>
      <c r="AU206" s="647"/>
      <c r="AV206" s="647"/>
      <c r="AW206" s="647"/>
      <c r="AX206" s="647"/>
      <c r="AY206" s="647"/>
      <c r="AZ206" s="647"/>
      <c r="BA206" s="647"/>
      <c r="BB206" s="647"/>
      <c r="BC206" s="647"/>
      <c r="BD206" s="647"/>
      <c r="BE206" s="647"/>
      <c r="BF206" s="647"/>
      <c r="BG206" s="647"/>
      <c r="BH206" s="647"/>
      <c r="BI206" s="647"/>
      <c r="BJ206" s="647"/>
      <c r="BK206" s="647"/>
      <c r="BL206" s="647"/>
      <c r="BM206" s="647"/>
      <c r="BN206" s="647"/>
      <c r="BO206" s="647"/>
      <c r="BP206" s="647"/>
      <c r="BQ206" s="647"/>
      <c r="BR206" s="647"/>
      <c r="BS206" s="647"/>
      <c r="BT206" s="647"/>
      <c r="BU206" s="647"/>
      <c r="BV206" s="647"/>
      <c r="BW206" s="647"/>
      <c r="BX206" s="647"/>
      <c r="BY206" s="647"/>
      <c r="BZ206" s="647"/>
      <c r="CA206" s="647"/>
      <c r="CB206" s="647"/>
      <c r="CC206" s="647"/>
      <c r="CD206" s="647"/>
      <c r="CE206" s="647"/>
      <c r="CF206" s="647"/>
      <c r="CG206" s="647"/>
      <c r="CH206" s="647"/>
      <c r="CI206" s="647"/>
      <c r="CJ206" s="647"/>
      <c r="CK206" s="647"/>
      <c r="CL206" s="647"/>
      <c r="CM206" s="647"/>
      <c r="CN206" s="647"/>
    </row>
    <row r="207" spans="1:92">
      <c r="A207" s="647"/>
      <c r="B207" s="646" t="s">
        <v>1090</v>
      </c>
      <c r="C207" s="647"/>
      <c r="D207" s="647"/>
      <c r="F207" s="647"/>
      <c r="G207" s="647"/>
      <c r="H207" s="647"/>
      <c r="I207" s="647"/>
      <c r="J207" s="647"/>
      <c r="K207" s="647"/>
      <c r="L207" s="647"/>
      <c r="M207" s="647"/>
      <c r="N207" s="647"/>
      <c r="O207" s="647"/>
      <c r="P207" s="647"/>
      <c r="Q207" s="647"/>
      <c r="R207" s="647"/>
      <c r="S207" s="647"/>
      <c r="T207" s="647"/>
      <c r="U207" s="647"/>
      <c r="V207" s="647"/>
      <c r="W207" s="647"/>
      <c r="X207" s="647"/>
      <c r="Y207" s="647"/>
      <c r="Z207" s="647"/>
      <c r="AA207" s="647"/>
      <c r="AB207" s="647"/>
      <c r="AC207" s="647"/>
      <c r="AD207" s="647"/>
      <c r="AE207" s="647"/>
      <c r="AF207" s="647"/>
      <c r="AG207" s="647"/>
      <c r="AH207" s="647"/>
      <c r="AI207" s="647"/>
      <c r="AJ207" s="647"/>
      <c r="AK207" s="647"/>
      <c r="AL207" s="647"/>
      <c r="AM207" s="647"/>
      <c r="AN207" s="647"/>
      <c r="AO207" s="647"/>
      <c r="AP207" s="647"/>
      <c r="AQ207" s="647"/>
      <c r="AR207" s="647"/>
      <c r="AS207" s="647"/>
      <c r="AT207" s="647"/>
      <c r="AU207" s="647"/>
      <c r="AV207" s="647"/>
      <c r="AW207" s="647"/>
      <c r="AX207" s="647"/>
      <c r="AY207" s="647"/>
      <c r="AZ207" s="647"/>
      <c r="BA207" s="647"/>
      <c r="BB207" s="647"/>
      <c r="BC207" s="647"/>
      <c r="BD207" s="647"/>
      <c r="BE207" s="647"/>
      <c r="BF207" s="647"/>
      <c r="BG207" s="647"/>
      <c r="BH207" s="647"/>
      <c r="BI207" s="647"/>
      <c r="BJ207" s="647"/>
      <c r="BK207" s="647"/>
      <c r="BL207" s="647"/>
      <c r="BM207" s="647"/>
      <c r="BN207" s="647"/>
      <c r="BO207" s="647"/>
      <c r="BP207" s="647"/>
      <c r="BQ207" s="647"/>
      <c r="BR207" s="647"/>
      <c r="BS207" s="647"/>
      <c r="BT207" s="647"/>
      <c r="BU207" s="647"/>
      <c r="BV207" s="647"/>
      <c r="BW207" s="647"/>
      <c r="BX207" s="647"/>
      <c r="BY207" s="647"/>
      <c r="BZ207" s="647"/>
      <c r="CA207" s="647"/>
      <c r="CB207" s="647"/>
      <c r="CC207" s="647"/>
      <c r="CD207" s="647"/>
      <c r="CE207" s="647"/>
      <c r="CF207" s="647"/>
      <c r="CG207" s="647"/>
      <c r="CH207" s="647"/>
      <c r="CI207" s="647"/>
      <c r="CJ207" s="647"/>
      <c r="CK207" s="647"/>
      <c r="CL207" s="647"/>
      <c r="CM207" s="647"/>
      <c r="CN207" s="647"/>
    </row>
    <row r="208" spans="1:92">
      <c r="A208" s="647"/>
      <c r="B208" s="647"/>
      <c r="C208" s="647"/>
      <c r="D208" s="647"/>
      <c r="E208" s="649"/>
      <c r="F208" s="647"/>
      <c r="G208" s="647"/>
      <c r="H208" s="647"/>
      <c r="I208" s="647"/>
      <c r="J208" s="647"/>
      <c r="K208" s="647"/>
      <c r="L208" s="647"/>
      <c r="M208" s="647"/>
      <c r="N208" s="647"/>
      <c r="O208" s="647"/>
      <c r="P208" s="647"/>
      <c r="Q208" s="647"/>
      <c r="R208" s="647"/>
      <c r="S208" s="647"/>
      <c r="T208" s="647"/>
      <c r="U208" s="647"/>
      <c r="V208" s="647"/>
      <c r="W208" s="647"/>
      <c r="X208" s="647"/>
      <c r="Y208" s="647"/>
      <c r="Z208" s="647"/>
      <c r="AA208" s="647"/>
      <c r="AB208" s="647"/>
      <c r="AC208" s="647"/>
      <c r="AD208" s="647"/>
      <c r="AE208" s="647"/>
      <c r="AF208" s="647"/>
      <c r="AG208" s="647"/>
      <c r="AH208" s="647"/>
      <c r="AI208" s="647"/>
      <c r="AJ208" s="647"/>
      <c r="AK208" s="647"/>
      <c r="AL208" s="647"/>
      <c r="AM208" s="647"/>
      <c r="AN208" s="647"/>
      <c r="AO208" s="647"/>
      <c r="AP208" s="647"/>
      <c r="AQ208" s="647"/>
      <c r="AR208" s="647"/>
      <c r="AS208" s="647"/>
      <c r="AT208" s="647"/>
      <c r="AU208" s="647"/>
      <c r="AV208" s="647"/>
      <c r="AW208" s="647"/>
      <c r="AX208" s="647"/>
      <c r="AY208" s="647"/>
      <c r="AZ208" s="647"/>
      <c r="BA208" s="647"/>
      <c r="BB208" s="647"/>
      <c r="BC208" s="647"/>
      <c r="BD208" s="647"/>
      <c r="BE208" s="647"/>
      <c r="BF208" s="647"/>
      <c r="BG208" s="647"/>
      <c r="BH208" s="647"/>
      <c r="BI208" s="647"/>
      <c r="BJ208" s="647"/>
      <c r="BK208" s="647"/>
      <c r="BL208" s="647"/>
      <c r="BM208" s="647"/>
      <c r="BN208" s="647"/>
      <c r="BO208" s="647"/>
      <c r="BP208" s="647"/>
      <c r="BQ208" s="647"/>
      <c r="BR208" s="647"/>
      <c r="BS208" s="647"/>
      <c r="BT208" s="647"/>
      <c r="BU208" s="647"/>
      <c r="BV208" s="647"/>
      <c r="BW208" s="647"/>
      <c r="BX208" s="647"/>
      <c r="BY208" s="647"/>
      <c r="BZ208" s="647"/>
      <c r="CA208" s="647"/>
      <c r="CB208" s="647"/>
      <c r="CC208" s="647"/>
      <c r="CD208" s="647"/>
      <c r="CE208" s="647"/>
      <c r="CF208" s="647"/>
      <c r="CG208" s="647"/>
      <c r="CH208" s="647"/>
      <c r="CI208" s="647"/>
      <c r="CJ208" s="647"/>
      <c r="CK208" s="647"/>
      <c r="CL208" s="647"/>
      <c r="CM208" s="647"/>
      <c r="CN208" s="647"/>
    </row>
    <row r="209" spans="1:92" ht="24">
      <c r="A209" s="647"/>
      <c r="B209" s="661" t="s">
        <v>99</v>
      </c>
      <c r="C209" s="661" t="s">
        <v>65</v>
      </c>
      <c r="D209" s="661" t="s">
        <v>2</v>
      </c>
      <c r="E209" s="662" t="s">
        <v>2</v>
      </c>
      <c r="F209" s="647"/>
      <c r="G209" s="647"/>
      <c r="H209" s="647"/>
      <c r="I209" s="647"/>
      <c r="J209" s="647"/>
      <c r="K209" s="647"/>
      <c r="L209" s="647"/>
      <c r="M209" s="647"/>
      <c r="N209" s="647"/>
      <c r="O209" s="647"/>
      <c r="P209" s="647"/>
      <c r="Q209" s="647"/>
      <c r="R209" s="647"/>
      <c r="S209" s="647"/>
      <c r="T209" s="647"/>
      <c r="U209" s="647"/>
      <c r="V209" s="647"/>
      <c r="W209" s="647"/>
      <c r="X209" s="647"/>
      <c r="Y209" s="647"/>
      <c r="Z209" s="647"/>
      <c r="AA209" s="647"/>
      <c r="AB209" s="647"/>
      <c r="AC209" s="647"/>
      <c r="AD209" s="647"/>
      <c r="AE209" s="647"/>
      <c r="AF209" s="647"/>
      <c r="AG209" s="647"/>
      <c r="AH209" s="647"/>
      <c r="AI209" s="647"/>
      <c r="AJ209" s="647"/>
      <c r="AK209" s="647"/>
      <c r="AL209" s="647"/>
      <c r="AM209" s="647"/>
      <c r="AN209" s="647"/>
      <c r="AO209" s="647"/>
      <c r="AP209" s="647"/>
      <c r="AQ209" s="647"/>
      <c r="AR209" s="647"/>
      <c r="AS209" s="647"/>
      <c r="AT209" s="647"/>
      <c r="AU209" s="647"/>
      <c r="AV209" s="647"/>
      <c r="AW209" s="647"/>
      <c r="AX209" s="647"/>
      <c r="AY209" s="647"/>
      <c r="AZ209" s="647"/>
      <c r="BA209" s="647"/>
      <c r="BB209" s="647"/>
      <c r="BC209" s="647"/>
      <c r="BD209" s="647"/>
      <c r="BE209" s="647"/>
      <c r="BF209" s="647"/>
      <c r="BG209" s="647"/>
      <c r="BH209" s="647"/>
      <c r="BI209" s="647"/>
      <c r="BJ209" s="647"/>
      <c r="BK209" s="647"/>
      <c r="BL209" s="647"/>
      <c r="BM209" s="647"/>
      <c r="BN209" s="647"/>
      <c r="BO209" s="647"/>
      <c r="BP209" s="647"/>
      <c r="BQ209" s="647"/>
      <c r="BR209" s="647"/>
      <c r="BS209" s="647"/>
      <c r="BT209" s="647"/>
      <c r="BU209" s="647"/>
      <c r="BV209" s="647"/>
      <c r="BW209" s="647"/>
      <c r="BX209" s="647"/>
      <c r="BY209" s="647"/>
      <c r="BZ209" s="647"/>
      <c r="CA209" s="647"/>
      <c r="CB209" s="647"/>
      <c r="CC209" s="647"/>
      <c r="CD209" s="647"/>
      <c r="CE209" s="647"/>
      <c r="CF209" s="647"/>
      <c r="CG209" s="647"/>
      <c r="CH209" s="647"/>
      <c r="CI209" s="647"/>
      <c r="CJ209" s="647"/>
      <c r="CK209" s="647"/>
      <c r="CL209" s="647"/>
      <c r="CM209" s="647"/>
      <c r="CN209" s="647"/>
    </row>
    <row r="210" spans="1:92" ht="24">
      <c r="A210" s="647"/>
      <c r="B210" s="663" t="s">
        <v>1027</v>
      </c>
      <c r="C210" s="663" t="s">
        <v>668</v>
      </c>
      <c r="D210" s="665">
        <v>171334342.70999998</v>
      </c>
      <c r="E210" s="665">
        <f>+'ST1'!D45</f>
        <v>442954844.45000005</v>
      </c>
      <c r="F210" s="647"/>
      <c r="G210" s="647"/>
      <c r="H210" s="647"/>
      <c r="I210" s="647"/>
      <c r="J210" s="647"/>
      <c r="K210" s="647"/>
      <c r="L210" s="647"/>
      <c r="M210" s="647"/>
      <c r="N210" s="647"/>
      <c r="O210" s="647"/>
      <c r="P210" s="647"/>
      <c r="Q210" s="647"/>
      <c r="R210" s="647"/>
      <c r="S210" s="647"/>
      <c r="T210" s="647"/>
      <c r="U210" s="647"/>
      <c r="V210" s="647"/>
      <c r="W210" s="647"/>
      <c r="X210" s="647"/>
      <c r="Y210" s="647"/>
      <c r="Z210" s="647"/>
      <c r="AA210" s="647"/>
      <c r="AB210" s="647"/>
      <c r="AC210" s="647"/>
      <c r="AD210" s="647"/>
      <c r="AE210" s="647"/>
      <c r="AF210" s="647"/>
      <c r="AG210" s="647"/>
      <c r="AH210" s="647"/>
      <c r="AI210" s="647"/>
      <c r="AJ210" s="647"/>
      <c r="AK210" s="647"/>
      <c r="AL210" s="647"/>
      <c r="AM210" s="647"/>
      <c r="AN210" s="647"/>
      <c r="AO210" s="647"/>
      <c r="AP210" s="647"/>
      <c r="AQ210" s="647"/>
      <c r="AR210" s="647"/>
      <c r="AS210" s="647"/>
      <c r="AT210" s="647"/>
      <c r="AU210" s="647"/>
      <c r="AV210" s="647"/>
      <c r="AW210" s="647"/>
      <c r="AX210" s="647"/>
      <c r="AY210" s="647"/>
      <c r="AZ210" s="647"/>
      <c r="BA210" s="647"/>
      <c r="BB210" s="647"/>
      <c r="BC210" s="647"/>
      <c r="BD210" s="647"/>
      <c r="BE210" s="647"/>
      <c r="BF210" s="647"/>
      <c r="BG210" s="647"/>
      <c r="BH210" s="647"/>
      <c r="BI210" s="647"/>
      <c r="BJ210" s="647"/>
      <c r="BK210" s="647"/>
      <c r="BL210" s="647"/>
      <c r="BM210" s="647"/>
      <c r="BN210" s="647"/>
      <c r="BO210" s="647"/>
      <c r="BP210" s="647"/>
      <c r="BQ210" s="647"/>
      <c r="BR210" s="647"/>
      <c r="BS210" s="647"/>
      <c r="BT210" s="647"/>
      <c r="BU210" s="647"/>
      <c r="BV210" s="647"/>
      <c r="BW210" s="647"/>
      <c r="BX210" s="647"/>
      <c r="BY210" s="647"/>
      <c r="BZ210" s="647"/>
      <c r="CA210" s="647"/>
      <c r="CB210" s="647"/>
      <c r="CC210" s="647"/>
      <c r="CD210" s="647"/>
      <c r="CE210" s="647"/>
      <c r="CF210" s="647"/>
      <c r="CG210" s="647"/>
      <c r="CH210" s="647"/>
      <c r="CI210" s="647"/>
      <c r="CJ210" s="647"/>
      <c r="CK210" s="647"/>
      <c r="CL210" s="647"/>
      <c r="CM210" s="647"/>
      <c r="CN210" s="647"/>
    </row>
    <row r="211" spans="1:92">
      <c r="A211" s="647"/>
      <c r="B211" s="663" t="s">
        <v>1007</v>
      </c>
      <c r="C211" s="666" t="s">
        <v>95</v>
      </c>
      <c r="D211" s="665">
        <f>SUM(D210)</f>
        <v>171334342.70999998</v>
      </c>
      <c r="E211" s="665">
        <f>SUM(E210)</f>
        <v>442954844.45000005</v>
      </c>
      <c r="F211" s="647"/>
      <c r="G211" s="647"/>
      <c r="H211" s="647"/>
      <c r="I211" s="647"/>
      <c r="J211" s="647"/>
      <c r="K211" s="647"/>
      <c r="L211" s="647"/>
      <c r="M211" s="647"/>
      <c r="N211" s="647"/>
      <c r="O211" s="647"/>
      <c r="P211" s="647"/>
      <c r="Q211" s="647"/>
      <c r="R211" s="647"/>
      <c r="S211" s="647"/>
      <c r="T211" s="647"/>
      <c r="U211" s="647"/>
      <c r="V211" s="647"/>
      <c r="W211" s="647"/>
      <c r="X211" s="647"/>
      <c r="Y211" s="647"/>
      <c r="Z211" s="647"/>
      <c r="AA211" s="647"/>
      <c r="AB211" s="647"/>
      <c r="AC211" s="647"/>
      <c r="AD211" s="647"/>
      <c r="AE211" s="647"/>
      <c r="AF211" s="647"/>
      <c r="AG211" s="647"/>
      <c r="AH211" s="647"/>
      <c r="AI211" s="647"/>
      <c r="AJ211" s="647"/>
      <c r="AK211" s="647"/>
      <c r="AL211" s="647"/>
      <c r="AM211" s="647"/>
      <c r="AN211" s="647"/>
      <c r="AO211" s="647"/>
      <c r="AP211" s="647"/>
      <c r="AQ211" s="647"/>
      <c r="AR211" s="647"/>
      <c r="AS211" s="647"/>
      <c r="AT211" s="647"/>
      <c r="AU211" s="647"/>
      <c r="AV211" s="647"/>
      <c r="AW211" s="647"/>
      <c r="AX211" s="647"/>
      <c r="AY211" s="647"/>
      <c r="AZ211" s="647"/>
      <c r="BA211" s="647"/>
      <c r="BB211" s="647"/>
      <c r="BC211" s="647"/>
      <c r="BD211" s="647"/>
      <c r="BE211" s="647"/>
      <c r="BF211" s="647"/>
      <c r="BG211" s="647"/>
      <c r="BH211" s="647"/>
      <c r="BI211" s="647"/>
      <c r="BJ211" s="647"/>
      <c r="BK211" s="647"/>
      <c r="BL211" s="647"/>
      <c r="BM211" s="647"/>
      <c r="BN211" s="647"/>
      <c r="BO211" s="647"/>
      <c r="BP211" s="647"/>
      <c r="BQ211" s="647"/>
      <c r="BR211" s="647"/>
      <c r="BS211" s="647"/>
      <c r="BT211" s="647"/>
      <c r="BU211" s="647"/>
      <c r="BV211" s="647"/>
      <c r="BW211" s="647"/>
      <c r="BX211" s="647"/>
      <c r="BY211" s="647"/>
      <c r="BZ211" s="647"/>
      <c r="CA211" s="647"/>
      <c r="CB211" s="647"/>
      <c r="CC211" s="647"/>
      <c r="CD211" s="647"/>
      <c r="CE211" s="647"/>
      <c r="CF211" s="647"/>
      <c r="CG211" s="647"/>
      <c r="CH211" s="647"/>
      <c r="CI211" s="647"/>
      <c r="CJ211" s="647"/>
      <c r="CK211" s="647"/>
      <c r="CL211" s="647"/>
      <c r="CM211" s="647"/>
      <c r="CN211" s="647"/>
    </row>
    <row r="212" spans="1:92">
      <c r="A212" s="646" t="s">
        <v>1001</v>
      </c>
      <c r="B212" s="647"/>
      <c r="C212" s="647"/>
      <c r="D212" s="647"/>
      <c r="F212" s="647"/>
      <c r="G212" s="647"/>
      <c r="H212" s="647"/>
      <c r="I212" s="647"/>
      <c r="J212" s="647"/>
      <c r="K212" s="647"/>
      <c r="L212" s="647"/>
      <c r="M212" s="647"/>
      <c r="N212" s="647"/>
      <c r="O212" s="647"/>
      <c r="P212" s="647"/>
      <c r="Q212" s="647"/>
      <c r="R212" s="647"/>
      <c r="S212" s="647"/>
      <c r="T212" s="647"/>
      <c r="U212" s="647"/>
      <c r="V212" s="647"/>
      <c r="W212" s="647"/>
      <c r="X212" s="647"/>
      <c r="Y212" s="647"/>
      <c r="Z212" s="647"/>
      <c r="AA212" s="647"/>
      <c r="AB212" s="647"/>
      <c r="AC212" s="647"/>
      <c r="AD212" s="647"/>
      <c r="AE212" s="647"/>
      <c r="AF212" s="647"/>
      <c r="AG212" s="647"/>
      <c r="AH212" s="647"/>
      <c r="AI212" s="647"/>
      <c r="AJ212" s="647"/>
      <c r="AK212" s="647"/>
      <c r="AL212" s="647"/>
      <c r="AM212" s="647"/>
      <c r="AN212" s="647"/>
      <c r="AO212" s="647"/>
      <c r="AP212" s="647"/>
      <c r="AQ212" s="647"/>
      <c r="AR212" s="647"/>
      <c r="AS212" s="647"/>
      <c r="AT212" s="647"/>
      <c r="AU212" s="647"/>
      <c r="AV212" s="647"/>
      <c r="AW212" s="647"/>
      <c r="AX212" s="647"/>
      <c r="AY212" s="647"/>
      <c r="AZ212" s="647"/>
      <c r="BA212" s="647"/>
      <c r="BB212" s="647"/>
      <c r="BC212" s="647"/>
      <c r="BD212" s="647"/>
      <c r="BE212" s="647"/>
      <c r="BF212" s="647"/>
      <c r="BG212" s="647"/>
      <c r="BH212" s="647"/>
      <c r="BI212" s="647"/>
      <c r="BJ212" s="647"/>
      <c r="BK212" s="647"/>
      <c r="BL212" s="647"/>
      <c r="BM212" s="647"/>
      <c r="BN212" s="647"/>
      <c r="BO212" s="647"/>
      <c r="BP212" s="647"/>
      <c r="BQ212" s="647"/>
      <c r="BR212" s="647"/>
      <c r="BS212" s="647"/>
      <c r="BT212" s="647"/>
      <c r="BU212" s="647"/>
      <c r="BV212" s="647"/>
      <c r="BW212" s="647"/>
      <c r="BX212" s="647"/>
      <c r="BY212" s="647"/>
      <c r="BZ212" s="647"/>
      <c r="CA212" s="647"/>
      <c r="CB212" s="647"/>
      <c r="CC212" s="647"/>
      <c r="CD212" s="647"/>
      <c r="CE212" s="647"/>
      <c r="CF212" s="647"/>
      <c r="CG212" s="647"/>
      <c r="CH212" s="647"/>
      <c r="CI212" s="647"/>
      <c r="CJ212" s="647"/>
      <c r="CK212" s="647"/>
      <c r="CL212" s="647"/>
      <c r="CM212" s="647"/>
      <c r="CN212" s="647"/>
    </row>
    <row r="213" spans="1:92">
      <c r="A213" s="647"/>
      <c r="B213" s="646" t="s">
        <v>1091</v>
      </c>
      <c r="C213" s="647"/>
      <c r="D213" s="647"/>
      <c r="F213" s="647"/>
      <c r="G213" s="647"/>
      <c r="H213" s="647"/>
      <c r="I213" s="647"/>
      <c r="J213" s="647"/>
      <c r="K213" s="647"/>
      <c r="L213" s="647"/>
      <c r="M213" s="647"/>
      <c r="N213" s="647"/>
      <c r="O213" s="647"/>
      <c r="P213" s="647"/>
      <c r="Q213" s="647"/>
      <c r="R213" s="647"/>
      <c r="S213" s="647"/>
      <c r="T213" s="647"/>
      <c r="U213" s="647"/>
      <c r="V213" s="647"/>
      <c r="W213" s="647"/>
      <c r="X213" s="647"/>
      <c r="Y213" s="647"/>
      <c r="Z213" s="647"/>
      <c r="AA213" s="647"/>
      <c r="AB213" s="647"/>
      <c r="AC213" s="647"/>
      <c r="AD213" s="647"/>
      <c r="AE213" s="647"/>
      <c r="AF213" s="647"/>
      <c r="AG213" s="647"/>
      <c r="AH213" s="647"/>
      <c r="AI213" s="647"/>
      <c r="AJ213" s="647"/>
      <c r="AK213" s="647"/>
      <c r="AL213" s="647"/>
      <c r="AM213" s="647"/>
      <c r="AN213" s="647"/>
      <c r="AO213" s="647"/>
      <c r="AP213" s="647"/>
      <c r="AQ213" s="647"/>
      <c r="AR213" s="647"/>
      <c r="AS213" s="647"/>
      <c r="AT213" s="647"/>
      <c r="AU213" s="647"/>
      <c r="AV213" s="647"/>
      <c r="AW213" s="647"/>
      <c r="AX213" s="647"/>
      <c r="AY213" s="647"/>
      <c r="AZ213" s="647"/>
      <c r="BA213" s="647"/>
      <c r="BB213" s="647"/>
      <c r="BC213" s="647"/>
      <c r="BD213" s="647"/>
      <c r="BE213" s="647"/>
      <c r="BF213" s="647"/>
      <c r="BG213" s="647"/>
      <c r="BH213" s="647"/>
      <c r="BI213" s="647"/>
      <c r="BJ213" s="647"/>
      <c r="BK213" s="647"/>
      <c r="BL213" s="647"/>
      <c r="BM213" s="647"/>
      <c r="BN213" s="647"/>
      <c r="BO213" s="647"/>
      <c r="BP213" s="647"/>
      <c r="BQ213" s="647"/>
      <c r="BR213" s="647"/>
      <c r="BS213" s="647"/>
      <c r="BT213" s="647"/>
      <c r="BU213" s="647"/>
      <c r="BV213" s="647"/>
      <c r="BW213" s="647"/>
      <c r="BX213" s="647"/>
      <c r="BY213" s="647"/>
      <c r="BZ213" s="647"/>
      <c r="CA213" s="647"/>
      <c r="CB213" s="647"/>
      <c r="CC213" s="647"/>
      <c r="CD213" s="647"/>
      <c r="CE213" s="647"/>
      <c r="CF213" s="647"/>
      <c r="CG213" s="647"/>
      <c r="CH213" s="647"/>
      <c r="CI213" s="647"/>
      <c r="CJ213" s="647"/>
      <c r="CK213" s="647"/>
      <c r="CL213" s="647"/>
      <c r="CM213" s="647"/>
      <c r="CN213" s="647"/>
    </row>
    <row r="214" spans="1:92">
      <c r="A214" s="647"/>
      <c r="B214" s="647"/>
      <c r="C214" s="647"/>
      <c r="D214" s="647"/>
      <c r="F214" s="647"/>
      <c r="G214" s="660"/>
      <c r="H214" s="647"/>
      <c r="I214" s="647"/>
      <c r="J214" s="647"/>
      <c r="K214" s="647"/>
      <c r="L214" s="647"/>
      <c r="M214" s="647"/>
      <c r="N214" s="647"/>
      <c r="O214" s="647"/>
      <c r="P214" s="647"/>
      <c r="Q214" s="647"/>
      <c r="R214" s="647"/>
      <c r="S214" s="647"/>
      <c r="T214" s="647"/>
      <c r="U214" s="647"/>
      <c r="V214" s="647"/>
      <c r="W214" s="647"/>
      <c r="X214" s="647"/>
      <c r="Y214" s="647"/>
      <c r="Z214" s="647"/>
      <c r="AA214" s="647"/>
      <c r="AB214" s="647"/>
      <c r="AC214" s="647"/>
      <c r="AD214" s="647"/>
      <c r="AE214" s="647"/>
      <c r="AF214" s="647"/>
      <c r="AG214" s="647"/>
      <c r="AH214" s="647"/>
      <c r="AI214" s="647"/>
      <c r="AJ214" s="647"/>
      <c r="AK214" s="647"/>
      <c r="AL214" s="647"/>
      <c r="AM214" s="647"/>
      <c r="AN214" s="647"/>
      <c r="AO214" s="647"/>
      <c r="AP214" s="647"/>
      <c r="AQ214" s="647"/>
      <c r="AR214" s="647"/>
      <c r="AS214" s="647"/>
      <c r="AT214" s="647"/>
      <c r="AU214" s="647"/>
      <c r="AV214" s="647"/>
      <c r="AW214" s="647"/>
      <c r="AX214" s="647"/>
      <c r="AY214" s="647"/>
      <c r="AZ214" s="647"/>
      <c r="BA214" s="647"/>
      <c r="BB214" s="647"/>
      <c r="BC214" s="647"/>
      <c r="BD214" s="647"/>
      <c r="BE214" s="647"/>
      <c r="BF214" s="647"/>
      <c r="BG214" s="647"/>
      <c r="BH214" s="647"/>
      <c r="BI214" s="647"/>
      <c r="BJ214" s="647"/>
      <c r="BK214" s="647"/>
      <c r="BL214" s="647"/>
      <c r="BM214" s="647"/>
      <c r="BN214" s="647"/>
      <c r="BO214" s="647"/>
      <c r="BP214" s="647"/>
      <c r="BQ214" s="647"/>
      <c r="BR214" s="647"/>
      <c r="BS214" s="647"/>
      <c r="BT214" s="647"/>
      <c r="BU214" s="647"/>
      <c r="BV214" s="647"/>
      <c r="BW214" s="647"/>
      <c r="BX214" s="647"/>
      <c r="BY214" s="647"/>
      <c r="BZ214" s="647"/>
      <c r="CA214" s="647"/>
      <c r="CB214" s="647"/>
      <c r="CC214" s="647"/>
      <c r="CD214" s="647"/>
      <c r="CE214" s="647"/>
      <c r="CF214" s="647"/>
      <c r="CG214" s="647"/>
      <c r="CH214" s="647"/>
      <c r="CI214" s="647"/>
      <c r="CJ214" s="647"/>
      <c r="CK214" s="647"/>
      <c r="CL214" s="647"/>
      <c r="CM214" s="647"/>
      <c r="CN214" s="647"/>
    </row>
    <row r="215" spans="1:92" ht="35.450000000000003" customHeight="1">
      <c r="A215" s="647"/>
      <c r="B215" s="661" t="s">
        <v>99</v>
      </c>
      <c r="C215" s="661" t="s">
        <v>65</v>
      </c>
      <c r="D215" s="661" t="s">
        <v>1082</v>
      </c>
      <c r="E215" s="662" t="s">
        <v>1083</v>
      </c>
      <c r="F215" s="661" t="s">
        <v>1082</v>
      </c>
      <c r="G215" s="661" t="s">
        <v>1083</v>
      </c>
      <c r="H215" s="647"/>
      <c r="I215" s="647"/>
      <c r="J215" s="647"/>
      <c r="K215" s="647"/>
      <c r="L215" s="647"/>
      <c r="M215" s="647"/>
      <c r="N215" s="647"/>
      <c r="O215" s="647"/>
      <c r="P215" s="647"/>
      <c r="Q215" s="647"/>
      <c r="R215" s="647"/>
      <c r="S215" s="647"/>
      <c r="T215" s="647"/>
      <c r="U215" s="647"/>
      <c r="V215" s="647"/>
      <c r="W215" s="647"/>
      <c r="X215" s="647"/>
      <c r="Y215" s="647"/>
      <c r="Z215" s="647"/>
      <c r="AA215" s="647"/>
      <c r="AB215" s="647"/>
      <c r="AC215" s="647"/>
      <c r="AD215" s="647"/>
      <c r="AE215" s="647"/>
      <c r="AF215" s="647"/>
      <c r="AG215" s="647"/>
      <c r="AH215" s="647"/>
      <c r="AI215" s="647"/>
      <c r="AJ215" s="647"/>
      <c r="AK215" s="647"/>
      <c r="AL215" s="647"/>
      <c r="AM215" s="647"/>
      <c r="AN215" s="647"/>
      <c r="AO215" s="647"/>
      <c r="AP215" s="647"/>
      <c r="AQ215" s="647"/>
      <c r="AR215" s="647"/>
      <c r="AS215" s="647"/>
      <c r="AT215" s="647"/>
      <c r="AU215" s="647"/>
      <c r="AV215" s="647"/>
      <c r="AW215" s="647"/>
      <c r="AX215" s="647"/>
      <c r="AY215" s="647"/>
      <c r="AZ215" s="647"/>
      <c r="BA215" s="647"/>
      <c r="BB215" s="647"/>
      <c r="BC215" s="647"/>
      <c r="BD215" s="647"/>
      <c r="BE215" s="647"/>
      <c r="BF215" s="647"/>
      <c r="BG215" s="647"/>
      <c r="BH215" s="647"/>
      <c r="BI215" s="647"/>
      <c r="BJ215" s="647"/>
      <c r="BK215" s="647"/>
      <c r="BL215" s="647"/>
      <c r="BM215" s="647"/>
      <c r="BN215" s="647"/>
      <c r="BO215" s="647"/>
      <c r="BP215" s="647"/>
      <c r="BQ215" s="647"/>
      <c r="BR215" s="647"/>
      <c r="BS215" s="647"/>
      <c r="BT215" s="647"/>
      <c r="BU215" s="647"/>
      <c r="BV215" s="647"/>
      <c r="BW215" s="647"/>
      <c r="BX215" s="647"/>
      <c r="BY215" s="647"/>
      <c r="BZ215" s="647"/>
      <c r="CA215" s="647"/>
      <c r="CB215" s="647"/>
      <c r="CC215" s="647"/>
      <c r="CD215" s="647"/>
      <c r="CE215" s="647"/>
      <c r="CF215" s="647"/>
      <c r="CG215" s="647"/>
      <c r="CH215" s="647"/>
      <c r="CI215" s="647"/>
      <c r="CJ215" s="647"/>
      <c r="CK215" s="647"/>
      <c r="CL215" s="647"/>
      <c r="CM215" s="647"/>
      <c r="CN215" s="647"/>
    </row>
    <row r="216" spans="1:92" ht="24">
      <c r="A216" s="647"/>
      <c r="B216" s="663" t="s">
        <v>1027</v>
      </c>
      <c r="C216" s="663" t="s">
        <v>1092</v>
      </c>
      <c r="D216" s="664">
        <v>0</v>
      </c>
      <c r="E216" s="665">
        <v>0</v>
      </c>
      <c r="F216" s="664">
        <v>0</v>
      </c>
      <c r="G216" s="664">
        <v>0</v>
      </c>
      <c r="H216" s="647"/>
      <c r="I216" s="647"/>
      <c r="J216" s="647"/>
      <c r="K216" s="647"/>
      <c r="L216" s="647"/>
      <c r="M216" s="647"/>
      <c r="N216" s="647"/>
      <c r="O216" s="647"/>
      <c r="P216" s="647"/>
      <c r="Q216" s="647"/>
      <c r="R216" s="647"/>
      <c r="S216" s="647"/>
      <c r="T216" s="647"/>
      <c r="U216" s="647"/>
      <c r="V216" s="647"/>
      <c r="W216" s="647"/>
      <c r="X216" s="647"/>
      <c r="Y216" s="647"/>
      <c r="Z216" s="647"/>
      <c r="AA216" s="647"/>
      <c r="AB216" s="647"/>
      <c r="AC216" s="647"/>
      <c r="AD216" s="647"/>
      <c r="AE216" s="647"/>
      <c r="AF216" s="647"/>
      <c r="AG216" s="647"/>
      <c r="AH216" s="647"/>
      <c r="AI216" s="647"/>
      <c r="AJ216" s="647"/>
      <c r="AK216" s="647"/>
      <c r="AL216" s="647"/>
      <c r="AM216" s="647"/>
      <c r="AN216" s="647"/>
      <c r="AO216" s="647"/>
      <c r="AP216" s="647"/>
      <c r="AQ216" s="647"/>
      <c r="AR216" s="647"/>
      <c r="AS216" s="647"/>
      <c r="AT216" s="647"/>
      <c r="AU216" s="647"/>
      <c r="AV216" s="647"/>
      <c r="AW216" s="647"/>
      <c r="AX216" s="647"/>
      <c r="AY216" s="647"/>
      <c r="AZ216" s="647"/>
      <c r="BA216" s="647"/>
      <c r="BB216" s="647"/>
      <c r="BC216" s="647"/>
      <c r="BD216" s="647"/>
      <c r="BE216" s="647"/>
      <c r="BF216" s="647"/>
      <c r="BG216" s="647"/>
      <c r="BH216" s="647"/>
      <c r="BI216" s="647"/>
      <c r="BJ216" s="647"/>
      <c r="BK216" s="647"/>
      <c r="BL216" s="647"/>
      <c r="BM216" s="647"/>
      <c r="BN216" s="647"/>
      <c r="BO216" s="647"/>
      <c r="BP216" s="647"/>
      <c r="BQ216" s="647"/>
      <c r="BR216" s="647"/>
      <c r="BS216" s="647"/>
      <c r="BT216" s="647"/>
      <c r="BU216" s="647"/>
      <c r="BV216" s="647"/>
      <c r="BW216" s="647"/>
      <c r="BX216" s="647"/>
      <c r="BY216" s="647"/>
      <c r="BZ216" s="647"/>
      <c r="CA216" s="647"/>
      <c r="CB216" s="647"/>
      <c r="CC216" s="647"/>
      <c r="CD216" s="647"/>
      <c r="CE216" s="647"/>
      <c r="CF216" s="647"/>
      <c r="CG216" s="647"/>
      <c r="CH216" s="647"/>
      <c r="CI216" s="647"/>
      <c r="CJ216" s="647"/>
      <c r="CK216" s="647"/>
      <c r="CL216" s="647"/>
      <c r="CM216" s="647"/>
      <c r="CN216" s="647"/>
    </row>
    <row r="217" spans="1:92" ht="36">
      <c r="A217" s="647"/>
      <c r="B217" s="663" t="s">
        <v>1093</v>
      </c>
      <c r="C217" s="663" t="s">
        <v>1094</v>
      </c>
      <c r="D217" s="664">
        <v>0</v>
      </c>
      <c r="E217" s="665">
        <v>0</v>
      </c>
      <c r="F217" s="664">
        <v>0</v>
      </c>
      <c r="G217" s="664">
        <v>0</v>
      </c>
      <c r="H217" s="647"/>
      <c r="I217" s="647"/>
      <c r="J217" s="647"/>
      <c r="K217" s="647"/>
      <c r="L217" s="647"/>
      <c r="M217" s="647"/>
      <c r="N217" s="647"/>
      <c r="O217" s="647"/>
      <c r="P217" s="647"/>
      <c r="Q217" s="647"/>
      <c r="R217" s="647"/>
      <c r="S217" s="647"/>
      <c r="T217" s="647"/>
      <c r="U217" s="647"/>
      <c r="V217" s="647"/>
      <c r="W217" s="647"/>
      <c r="X217" s="647"/>
      <c r="Y217" s="647"/>
      <c r="Z217" s="647"/>
      <c r="AA217" s="647"/>
      <c r="AB217" s="647"/>
      <c r="AC217" s="647"/>
      <c r="AD217" s="647"/>
      <c r="AE217" s="647"/>
      <c r="AF217" s="647"/>
      <c r="AG217" s="647"/>
      <c r="AH217" s="647"/>
      <c r="AI217" s="647"/>
      <c r="AJ217" s="647"/>
      <c r="AK217" s="647"/>
      <c r="AL217" s="647"/>
      <c r="AM217" s="647"/>
      <c r="AN217" s="647"/>
      <c r="AO217" s="647"/>
      <c r="AP217" s="647"/>
      <c r="AQ217" s="647"/>
      <c r="AR217" s="647"/>
      <c r="AS217" s="647"/>
      <c r="AT217" s="647"/>
      <c r="AU217" s="647"/>
      <c r="AV217" s="647"/>
      <c r="AW217" s="647"/>
      <c r="AX217" s="647"/>
      <c r="AY217" s="647"/>
      <c r="AZ217" s="647"/>
      <c r="BA217" s="647"/>
      <c r="BB217" s="647"/>
      <c r="BC217" s="647"/>
      <c r="BD217" s="647"/>
      <c r="BE217" s="647"/>
      <c r="BF217" s="647"/>
      <c r="BG217" s="647"/>
      <c r="BH217" s="647"/>
      <c r="BI217" s="647"/>
      <c r="BJ217" s="647"/>
      <c r="BK217" s="647"/>
      <c r="BL217" s="647"/>
      <c r="BM217" s="647"/>
      <c r="BN217" s="647"/>
      <c r="BO217" s="647"/>
      <c r="BP217" s="647"/>
      <c r="BQ217" s="647"/>
      <c r="BR217" s="647"/>
      <c r="BS217" s="647"/>
      <c r="BT217" s="647"/>
      <c r="BU217" s="647"/>
      <c r="BV217" s="647"/>
      <c r="BW217" s="647"/>
      <c r="BX217" s="647"/>
      <c r="BY217" s="647"/>
      <c r="BZ217" s="647"/>
      <c r="CA217" s="647"/>
      <c r="CB217" s="647"/>
      <c r="CC217" s="647"/>
      <c r="CD217" s="647"/>
      <c r="CE217" s="647"/>
      <c r="CF217" s="647"/>
      <c r="CG217" s="647"/>
      <c r="CH217" s="647"/>
      <c r="CI217" s="647"/>
      <c r="CJ217" s="647"/>
      <c r="CK217" s="647"/>
      <c r="CL217" s="647"/>
      <c r="CM217" s="647"/>
      <c r="CN217" s="647"/>
    </row>
    <row r="218" spans="1:92" ht="36">
      <c r="A218" s="647"/>
      <c r="B218" s="663" t="s">
        <v>1095</v>
      </c>
      <c r="C218" s="663" t="s">
        <v>1096</v>
      </c>
      <c r="D218" s="664">
        <v>0</v>
      </c>
      <c r="E218" s="665">
        <v>0</v>
      </c>
      <c r="F218" s="664">
        <v>0</v>
      </c>
      <c r="G218" s="664">
        <v>0</v>
      </c>
      <c r="H218" s="647"/>
      <c r="I218" s="647"/>
      <c r="J218" s="647"/>
      <c r="K218" s="647"/>
      <c r="L218" s="647"/>
      <c r="M218" s="647"/>
      <c r="N218" s="647"/>
      <c r="O218" s="647"/>
      <c r="P218" s="647"/>
      <c r="Q218" s="647"/>
      <c r="R218" s="647"/>
      <c r="S218" s="647"/>
      <c r="T218" s="647"/>
      <c r="U218" s="647"/>
      <c r="V218" s="647"/>
      <c r="W218" s="647"/>
      <c r="X218" s="647"/>
      <c r="Y218" s="647"/>
      <c r="Z218" s="647"/>
      <c r="AA218" s="647"/>
      <c r="AB218" s="647"/>
      <c r="AC218" s="647"/>
      <c r="AD218" s="647"/>
      <c r="AE218" s="647"/>
      <c r="AF218" s="647"/>
      <c r="AG218" s="647"/>
      <c r="AH218" s="647"/>
      <c r="AI218" s="647"/>
      <c r="AJ218" s="647"/>
      <c r="AK218" s="647"/>
      <c r="AL218" s="647"/>
      <c r="AM218" s="647"/>
      <c r="AN218" s="647"/>
      <c r="AO218" s="647"/>
      <c r="AP218" s="647"/>
      <c r="AQ218" s="647"/>
      <c r="AR218" s="647"/>
      <c r="AS218" s="647"/>
      <c r="AT218" s="647"/>
      <c r="AU218" s="647"/>
      <c r="AV218" s="647"/>
      <c r="AW218" s="647"/>
      <c r="AX218" s="647"/>
      <c r="AY218" s="647"/>
      <c r="AZ218" s="647"/>
      <c r="BA218" s="647"/>
      <c r="BB218" s="647"/>
      <c r="BC218" s="647"/>
      <c r="BD218" s="647"/>
      <c r="BE218" s="647"/>
      <c r="BF218" s="647"/>
      <c r="BG218" s="647"/>
      <c r="BH218" s="647"/>
      <c r="BI218" s="647"/>
      <c r="BJ218" s="647"/>
      <c r="BK218" s="647"/>
      <c r="BL218" s="647"/>
      <c r="BM218" s="647"/>
      <c r="BN218" s="647"/>
      <c r="BO218" s="647"/>
      <c r="BP218" s="647"/>
      <c r="BQ218" s="647"/>
      <c r="BR218" s="647"/>
      <c r="BS218" s="647"/>
      <c r="BT218" s="647"/>
      <c r="BU218" s="647"/>
      <c r="BV218" s="647"/>
      <c r="BW218" s="647"/>
      <c r="BX218" s="647"/>
      <c r="BY218" s="647"/>
      <c r="BZ218" s="647"/>
      <c r="CA218" s="647"/>
      <c r="CB218" s="647"/>
      <c r="CC218" s="647"/>
      <c r="CD218" s="647"/>
      <c r="CE218" s="647"/>
      <c r="CF218" s="647"/>
      <c r="CG218" s="647"/>
      <c r="CH218" s="647"/>
      <c r="CI218" s="647"/>
      <c r="CJ218" s="647"/>
      <c r="CK218" s="647"/>
      <c r="CL218" s="647"/>
      <c r="CM218" s="647"/>
      <c r="CN218" s="647"/>
    </row>
    <row r="219" spans="1:92" ht="24">
      <c r="A219" s="647"/>
      <c r="B219" s="663" t="s">
        <v>1097</v>
      </c>
      <c r="C219" s="663" t="s">
        <v>1098</v>
      </c>
      <c r="D219" s="664">
        <v>0</v>
      </c>
      <c r="E219" s="665">
        <v>0</v>
      </c>
      <c r="F219" s="664">
        <v>0</v>
      </c>
      <c r="G219" s="664">
        <v>0</v>
      </c>
      <c r="H219" s="647"/>
      <c r="I219" s="647"/>
      <c r="J219" s="647"/>
      <c r="K219" s="647"/>
      <c r="L219" s="647"/>
      <c r="M219" s="647"/>
      <c r="N219" s="647"/>
      <c r="O219" s="647"/>
      <c r="P219" s="647"/>
      <c r="Q219" s="647"/>
      <c r="R219" s="647"/>
      <c r="S219" s="647"/>
      <c r="T219" s="647"/>
      <c r="U219" s="647"/>
      <c r="V219" s="647"/>
      <c r="W219" s="647"/>
      <c r="X219" s="647"/>
      <c r="Y219" s="647"/>
      <c r="Z219" s="647"/>
      <c r="AA219" s="647"/>
      <c r="AB219" s="647"/>
      <c r="AC219" s="647"/>
      <c r="AD219" s="647"/>
      <c r="AE219" s="647"/>
      <c r="AF219" s="647"/>
      <c r="AG219" s="647"/>
      <c r="AH219" s="647"/>
      <c r="AI219" s="647"/>
      <c r="AJ219" s="647"/>
      <c r="AK219" s="647"/>
      <c r="AL219" s="647"/>
      <c r="AM219" s="647"/>
      <c r="AN219" s="647"/>
      <c r="AO219" s="647"/>
      <c r="AP219" s="647"/>
      <c r="AQ219" s="647"/>
      <c r="AR219" s="647"/>
      <c r="AS219" s="647"/>
      <c r="AT219" s="647"/>
      <c r="AU219" s="647"/>
      <c r="AV219" s="647"/>
      <c r="AW219" s="647"/>
      <c r="AX219" s="647"/>
      <c r="AY219" s="647"/>
      <c r="AZ219" s="647"/>
      <c r="BA219" s="647"/>
      <c r="BB219" s="647"/>
      <c r="BC219" s="647"/>
      <c r="BD219" s="647"/>
      <c r="BE219" s="647"/>
      <c r="BF219" s="647"/>
      <c r="BG219" s="647"/>
      <c r="BH219" s="647"/>
      <c r="BI219" s="647"/>
      <c r="BJ219" s="647"/>
      <c r="BK219" s="647"/>
      <c r="BL219" s="647"/>
      <c r="BM219" s="647"/>
      <c r="BN219" s="647"/>
      <c r="BO219" s="647"/>
      <c r="BP219" s="647"/>
      <c r="BQ219" s="647"/>
      <c r="BR219" s="647"/>
      <c r="BS219" s="647"/>
      <c r="BT219" s="647"/>
      <c r="BU219" s="647"/>
      <c r="BV219" s="647"/>
      <c r="BW219" s="647"/>
      <c r="BX219" s="647"/>
      <c r="BY219" s="647"/>
      <c r="BZ219" s="647"/>
      <c r="CA219" s="647"/>
      <c r="CB219" s="647"/>
      <c r="CC219" s="647"/>
      <c r="CD219" s="647"/>
      <c r="CE219" s="647"/>
      <c r="CF219" s="647"/>
      <c r="CG219" s="647"/>
      <c r="CH219" s="647"/>
      <c r="CI219" s="647"/>
      <c r="CJ219" s="647"/>
      <c r="CK219" s="647"/>
      <c r="CL219" s="647"/>
      <c r="CM219" s="647"/>
      <c r="CN219" s="647"/>
    </row>
    <row r="220" spans="1:92" ht="24">
      <c r="A220" s="647"/>
      <c r="B220" s="663" t="s">
        <v>1010</v>
      </c>
      <c r="C220" s="663" t="s">
        <v>1099</v>
      </c>
      <c r="D220" s="664">
        <v>2847235881.5999999</v>
      </c>
      <c r="E220" s="665">
        <v>0</v>
      </c>
      <c r="F220" s="664">
        <v>2847235881.5999999</v>
      </c>
      <c r="G220" s="664">
        <v>0</v>
      </c>
      <c r="H220" s="647"/>
      <c r="I220" s="647"/>
      <c r="J220" s="647"/>
      <c r="K220" s="647"/>
      <c r="L220" s="647"/>
      <c r="M220" s="647"/>
      <c r="N220" s="647"/>
      <c r="O220" s="647"/>
      <c r="P220" s="647"/>
      <c r="Q220" s="647"/>
      <c r="R220" s="647"/>
      <c r="S220" s="647"/>
      <c r="T220" s="647"/>
      <c r="U220" s="647"/>
      <c r="V220" s="647"/>
      <c r="W220" s="647"/>
      <c r="X220" s="647"/>
      <c r="Y220" s="647"/>
      <c r="Z220" s="647"/>
      <c r="AA220" s="647"/>
      <c r="AB220" s="647"/>
      <c r="AC220" s="647"/>
      <c r="AD220" s="647"/>
      <c r="AE220" s="647"/>
      <c r="AF220" s="647"/>
      <c r="AG220" s="647"/>
      <c r="AH220" s="647"/>
      <c r="AI220" s="647"/>
      <c r="AJ220" s="647"/>
      <c r="AK220" s="647"/>
      <c r="AL220" s="647"/>
      <c r="AM220" s="647"/>
      <c r="AN220" s="647"/>
      <c r="AO220" s="647"/>
      <c r="AP220" s="647"/>
      <c r="AQ220" s="647"/>
      <c r="AR220" s="647"/>
      <c r="AS220" s="647"/>
      <c r="AT220" s="647"/>
      <c r="AU220" s="647"/>
      <c r="AV220" s="647"/>
      <c r="AW220" s="647"/>
      <c r="AX220" s="647"/>
      <c r="AY220" s="647"/>
      <c r="AZ220" s="647"/>
      <c r="BA220" s="647"/>
      <c r="BB220" s="647"/>
      <c r="BC220" s="647"/>
      <c r="BD220" s="647"/>
      <c r="BE220" s="647"/>
      <c r="BF220" s="647"/>
      <c r="BG220" s="647"/>
      <c r="BH220" s="647"/>
      <c r="BI220" s="647"/>
      <c r="BJ220" s="647"/>
      <c r="BK220" s="647"/>
      <c r="BL220" s="647"/>
      <c r="BM220" s="647"/>
      <c r="BN220" s="647"/>
      <c r="BO220" s="647"/>
      <c r="BP220" s="647"/>
      <c r="BQ220" s="647"/>
      <c r="BR220" s="647"/>
      <c r="BS220" s="647"/>
      <c r="BT220" s="647"/>
      <c r="BU220" s="647"/>
      <c r="BV220" s="647"/>
      <c r="BW220" s="647"/>
      <c r="BX220" s="647"/>
      <c r="BY220" s="647"/>
      <c r="BZ220" s="647"/>
      <c r="CA220" s="647"/>
      <c r="CB220" s="647"/>
      <c r="CC220" s="647"/>
      <c r="CD220" s="647"/>
      <c r="CE220" s="647"/>
      <c r="CF220" s="647"/>
      <c r="CG220" s="647"/>
      <c r="CH220" s="647"/>
      <c r="CI220" s="647"/>
      <c r="CJ220" s="647"/>
      <c r="CK220" s="647"/>
      <c r="CL220" s="647"/>
      <c r="CM220" s="647"/>
      <c r="CN220" s="647"/>
    </row>
    <row r="221" spans="1:92" ht="36">
      <c r="A221" s="647"/>
      <c r="B221" s="663" t="s">
        <v>1100</v>
      </c>
      <c r="C221" s="663" t="s">
        <v>1101</v>
      </c>
      <c r="D221" s="664">
        <v>0</v>
      </c>
      <c r="E221" s="665">
        <v>0</v>
      </c>
      <c r="F221" s="664">
        <v>0</v>
      </c>
      <c r="G221" s="664">
        <v>0</v>
      </c>
      <c r="H221" s="647"/>
      <c r="I221" s="647"/>
      <c r="J221" s="647"/>
      <c r="K221" s="647"/>
      <c r="L221" s="647"/>
      <c r="M221" s="647"/>
      <c r="N221" s="647"/>
      <c r="O221" s="647"/>
      <c r="P221" s="647"/>
      <c r="Q221" s="647"/>
      <c r="R221" s="647"/>
      <c r="S221" s="647"/>
      <c r="T221" s="647"/>
      <c r="U221" s="647"/>
      <c r="V221" s="647"/>
      <c r="W221" s="647"/>
      <c r="X221" s="647"/>
      <c r="Y221" s="647"/>
      <c r="Z221" s="647"/>
      <c r="AA221" s="647"/>
      <c r="AB221" s="647"/>
      <c r="AC221" s="647"/>
      <c r="AD221" s="647"/>
      <c r="AE221" s="647"/>
      <c r="AF221" s="647"/>
      <c r="AG221" s="647"/>
      <c r="AH221" s="647"/>
      <c r="AI221" s="647"/>
      <c r="AJ221" s="647"/>
      <c r="AK221" s="647"/>
      <c r="AL221" s="647"/>
      <c r="AM221" s="647"/>
      <c r="AN221" s="647"/>
      <c r="AO221" s="647"/>
      <c r="AP221" s="647"/>
      <c r="AQ221" s="647"/>
      <c r="AR221" s="647"/>
      <c r="AS221" s="647"/>
      <c r="AT221" s="647"/>
      <c r="AU221" s="647"/>
      <c r="AV221" s="647"/>
      <c r="AW221" s="647"/>
      <c r="AX221" s="647"/>
      <c r="AY221" s="647"/>
      <c r="AZ221" s="647"/>
      <c r="BA221" s="647"/>
      <c r="BB221" s="647"/>
      <c r="BC221" s="647"/>
      <c r="BD221" s="647"/>
      <c r="BE221" s="647"/>
      <c r="BF221" s="647"/>
      <c r="BG221" s="647"/>
      <c r="BH221" s="647"/>
      <c r="BI221" s="647"/>
      <c r="BJ221" s="647"/>
      <c r="BK221" s="647"/>
      <c r="BL221" s="647"/>
      <c r="BM221" s="647"/>
      <c r="BN221" s="647"/>
      <c r="BO221" s="647"/>
      <c r="BP221" s="647"/>
      <c r="BQ221" s="647"/>
      <c r="BR221" s="647"/>
      <c r="BS221" s="647"/>
      <c r="BT221" s="647"/>
      <c r="BU221" s="647"/>
      <c r="BV221" s="647"/>
      <c r="BW221" s="647"/>
      <c r="BX221" s="647"/>
      <c r="BY221" s="647"/>
      <c r="BZ221" s="647"/>
      <c r="CA221" s="647"/>
      <c r="CB221" s="647"/>
      <c r="CC221" s="647"/>
      <c r="CD221" s="647"/>
      <c r="CE221" s="647"/>
      <c r="CF221" s="647"/>
      <c r="CG221" s="647"/>
      <c r="CH221" s="647"/>
      <c r="CI221" s="647"/>
      <c r="CJ221" s="647"/>
      <c r="CK221" s="647"/>
      <c r="CL221" s="647"/>
      <c r="CM221" s="647"/>
      <c r="CN221" s="647"/>
    </row>
    <row r="222" spans="1:92">
      <c r="A222" s="647"/>
      <c r="B222" s="663" t="s">
        <v>1102</v>
      </c>
      <c r="C222" s="663"/>
      <c r="D222" s="664">
        <v>0</v>
      </c>
      <c r="E222" s="665">
        <v>0</v>
      </c>
      <c r="F222" s="664">
        <v>0</v>
      </c>
      <c r="G222" s="664">
        <v>0</v>
      </c>
      <c r="H222" s="647"/>
      <c r="I222" s="647"/>
      <c r="J222" s="647"/>
      <c r="K222" s="647"/>
      <c r="L222" s="647"/>
      <c r="M222" s="647"/>
      <c r="N222" s="647"/>
      <c r="O222" s="647"/>
      <c r="P222" s="647"/>
      <c r="Q222" s="647"/>
      <c r="R222" s="647"/>
      <c r="S222" s="647"/>
      <c r="T222" s="647"/>
      <c r="U222" s="647"/>
      <c r="V222" s="647"/>
      <c r="W222" s="647"/>
      <c r="X222" s="647"/>
      <c r="Y222" s="647"/>
      <c r="Z222" s="647"/>
      <c r="AA222" s="647"/>
      <c r="AB222" s="647"/>
      <c r="AC222" s="647"/>
      <c r="AD222" s="647"/>
      <c r="AE222" s="647"/>
      <c r="AF222" s="647"/>
      <c r="AG222" s="647"/>
      <c r="AH222" s="647"/>
      <c r="AI222" s="647"/>
      <c r="AJ222" s="647"/>
      <c r="AK222" s="647"/>
      <c r="AL222" s="647"/>
      <c r="AM222" s="647"/>
      <c r="AN222" s="647"/>
      <c r="AO222" s="647"/>
      <c r="AP222" s="647"/>
      <c r="AQ222" s="647"/>
      <c r="AR222" s="647"/>
      <c r="AS222" s="647"/>
      <c r="AT222" s="647"/>
      <c r="AU222" s="647"/>
      <c r="AV222" s="647"/>
      <c r="AW222" s="647"/>
      <c r="AX222" s="647"/>
      <c r="AY222" s="647"/>
      <c r="AZ222" s="647"/>
      <c r="BA222" s="647"/>
      <c r="BB222" s="647"/>
      <c r="BC222" s="647"/>
      <c r="BD222" s="647"/>
      <c r="BE222" s="647"/>
      <c r="BF222" s="647"/>
      <c r="BG222" s="647"/>
      <c r="BH222" s="647"/>
      <c r="BI222" s="647"/>
      <c r="BJ222" s="647"/>
      <c r="BK222" s="647"/>
      <c r="BL222" s="647"/>
      <c r="BM222" s="647"/>
      <c r="BN222" s="647"/>
      <c r="BO222" s="647"/>
      <c r="BP222" s="647"/>
      <c r="BQ222" s="647"/>
      <c r="BR222" s="647"/>
      <c r="BS222" s="647"/>
      <c r="BT222" s="647"/>
      <c r="BU222" s="647"/>
      <c r="BV222" s="647"/>
      <c r="BW222" s="647"/>
      <c r="BX222" s="647"/>
      <c r="BY222" s="647"/>
      <c r="BZ222" s="647"/>
      <c r="CA222" s="647"/>
      <c r="CB222" s="647"/>
      <c r="CC222" s="647"/>
      <c r="CD222" s="647"/>
      <c r="CE222" s="647"/>
      <c r="CF222" s="647"/>
      <c r="CG222" s="647"/>
      <c r="CH222" s="647"/>
      <c r="CI222" s="647"/>
      <c r="CJ222" s="647"/>
      <c r="CK222" s="647"/>
      <c r="CL222" s="647"/>
      <c r="CM222" s="647"/>
      <c r="CN222" s="647"/>
    </row>
    <row r="223" spans="1:92">
      <c r="A223" s="646" t="s">
        <v>1001</v>
      </c>
      <c r="B223" s="647"/>
      <c r="C223" s="647"/>
      <c r="D223" s="647"/>
      <c r="F223" s="647"/>
      <c r="G223" s="647"/>
      <c r="H223" s="647"/>
      <c r="I223" s="647"/>
      <c r="J223" s="647"/>
      <c r="K223" s="647"/>
      <c r="L223" s="647"/>
      <c r="M223" s="647"/>
      <c r="N223" s="647"/>
      <c r="O223" s="647"/>
      <c r="P223" s="647"/>
      <c r="Q223" s="647"/>
      <c r="R223" s="647"/>
      <c r="S223" s="647"/>
      <c r="T223" s="647"/>
      <c r="U223" s="647"/>
      <c r="V223" s="647"/>
      <c r="W223" s="647"/>
      <c r="X223" s="647"/>
      <c r="Y223" s="647"/>
      <c r="Z223" s="647"/>
      <c r="AA223" s="647"/>
      <c r="AB223" s="647"/>
      <c r="AC223" s="647"/>
      <c r="AD223" s="647"/>
      <c r="AE223" s="647"/>
      <c r="AF223" s="647"/>
      <c r="AG223" s="647"/>
      <c r="AH223" s="647"/>
      <c r="AI223" s="647"/>
      <c r="AJ223" s="647"/>
      <c r="AK223" s="647"/>
      <c r="AL223" s="647"/>
      <c r="AM223" s="647"/>
      <c r="AN223" s="647"/>
      <c r="AO223" s="647"/>
      <c r="AP223" s="647"/>
      <c r="AQ223" s="647"/>
      <c r="AR223" s="647"/>
      <c r="AS223" s="647"/>
      <c r="AT223" s="647"/>
      <c r="AU223" s="647"/>
      <c r="AV223" s="647"/>
      <c r="AW223" s="647"/>
      <c r="AX223" s="647"/>
      <c r="AY223" s="647"/>
      <c r="AZ223" s="647"/>
      <c r="BA223" s="647"/>
      <c r="BB223" s="647"/>
      <c r="BC223" s="647"/>
      <c r="BD223" s="647"/>
      <c r="BE223" s="647"/>
      <c r="BF223" s="647"/>
      <c r="BG223" s="647"/>
      <c r="BH223" s="647"/>
      <c r="BI223" s="647"/>
      <c r="BJ223" s="647"/>
      <c r="BK223" s="647"/>
      <c r="BL223" s="647"/>
      <c r="BM223" s="647"/>
      <c r="BN223" s="647"/>
      <c r="BO223" s="647"/>
      <c r="BP223" s="647"/>
      <c r="BQ223" s="647"/>
      <c r="BR223" s="647"/>
      <c r="BS223" s="647"/>
      <c r="BT223" s="647"/>
      <c r="BU223" s="647"/>
      <c r="BV223" s="647"/>
      <c r="BW223" s="647"/>
      <c r="BX223" s="647"/>
      <c r="BY223" s="647"/>
      <c r="BZ223" s="647"/>
      <c r="CA223" s="647"/>
      <c r="CB223" s="647"/>
      <c r="CC223" s="647"/>
      <c r="CD223" s="647"/>
      <c r="CE223" s="647"/>
      <c r="CF223" s="647"/>
      <c r="CG223" s="647"/>
      <c r="CH223" s="647"/>
      <c r="CI223" s="647"/>
      <c r="CJ223" s="647"/>
      <c r="CK223" s="647"/>
      <c r="CL223" s="647"/>
      <c r="CM223" s="647"/>
      <c r="CN223" s="647"/>
    </row>
    <row r="224" spans="1:92">
      <c r="A224" s="647"/>
      <c r="B224" s="646" t="s">
        <v>1103</v>
      </c>
      <c r="C224" s="647"/>
      <c r="D224" s="647"/>
      <c r="F224" s="647"/>
      <c r="G224" s="647"/>
      <c r="H224" s="647"/>
      <c r="I224" s="647"/>
      <c r="J224" s="647"/>
      <c r="K224" s="647"/>
      <c r="L224" s="647"/>
      <c r="M224" s="647"/>
      <c r="N224" s="647"/>
      <c r="O224" s="647"/>
      <c r="P224" s="647"/>
      <c r="Q224" s="647"/>
      <c r="R224" s="647"/>
      <c r="S224" s="647"/>
      <c r="T224" s="647"/>
      <c r="U224" s="647"/>
      <c r="V224" s="647"/>
      <c r="W224" s="647"/>
      <c r="X224" s="647"/>
      <c r="Y224" s="647"/>
      <c r="Z224" s="647"/>
      <c r="AA224" s="647"/>
      <c r="AB224" s="647"/>
      <c r="AC224" s="647"/>
      <c r="AD224" s="647"/>
      <c r="AE224" s="647"/>
      <c r="AF224" s="647"/>
      <c r="AG224" s="647"/>
      <c r="AH224" s="647"/>
      <c r="AI224" s="647"/>
      <c r="AJ224" s="647"/>
      <c r="AK224" s="647"/>
      <c r="AL224" s="647"/>
      <c r="AM224" s="647"/>
      <c r="AN224" s="647"/>
      <c r="AO224" s="647"/>
      <c r="AP224" s="647"/>
      <c r="AQ224" s="647"/>
      <c r="AR224" s="647"/>
      <c r="AS224" s="647"/>
      <c r="AT224" s="647"/>
      <c r="AU224" s="647"/>
      <c r="AV224" s="647"/>
      <c r="AW224" s="647"/>
      <c r="AX224" s="647"/>
      <c r="AY224" s="647"/>
      <c r="AZ224" s="647"/>
      <c r="BA224" s="647"/>
      <c r="BB224" s="647"/>
      <c r="BC224" s="647"/>
      <c r="BD224" s="647"/>
      <c r="BE224" s="647"/>
      <c r="BF224" s="647"/>
      <c r="BG224" s="647"/>
      <c r="BH224" s="647"/>
      <c r="BI224" s="647"/>
      <c r="BJ224" s="647"/>
      <c r="BK224" s="647"/>
      <c r="BL224" s="647"/>
      <c r="BM224" s="647"/>
      <c r="BN224" s="647"/>
      <c r="BO224" s="647"/>
      <c r="BP224" s="647"/>
      <c r="BQ224" s="647"/>
      <c r="BR224" s="647"/>
      <c r="BS224" s="647"/>
      <c r="BT224" s="647"/>
      <c r="BU224" s="647"/>
      <c r="BV224" s="647"/>
      <c r="BW224" s="647"/>
      <c r="BX224" s="647"/>
      <c r="BY224" s="647"/>
      <c r="BZ224" s="647"/>
      <c r="CA224" s="647"/>
      <c r="CB224" s="647"/>
      <c r="CC224" s="647"/>
      <c r="CD224" s="647"/>
      <c r="CE224" s="647"/>
      <c r="CF224" s="647"/>
      <c r="CG224" s="647"/>
      <c r="CH224" s="647"/>
      <c r="CI224" s="647"/>
      <c r="CJ224" s="647"/>
      <c r="CK224" s="647"/>
      <c r="CL224" s="647"/>
      <c r="CM224" s="647"/>
      <c r="CN224" s="647"/>
    </row>
    <row r="225" spans="1:92">
      <c r="A225" s="647"/>
      <c r="B225" s="647"/>
      <c r="C225" s="647"/>
      <c r="D225" s="647"/>
      <c r="F225" s="647"/>
      <c r="G225" s="647"/>
      <c r="H225" s="660"/>
      <c r="I225" s="647"/>
      <c r="J225" s="647"/>
      <c r="K225" s="647"/>
      <c r="L225" s="647"/>
      <c r="M225" s="647"/>
      <c r="N225" s="647"/>
      <c r="O225" s="647"/>
      <c r="P225" s="647"/>
      <c r="Q225" s="647"/>
      <c r="R225" s="647"/>
      <c r="S225" s="647"/>
      <c r="T225" s="647"/>
      <c r="U225" s="647"/>
      <c r="V225" s="647"/>
      <c r="W225" s="647"/>
      <c r="X225" s="647"/>
      <c r="Y225" s="647"/>
      <c r="Z225" s="647"/>
      <c r="AA225" s="647"/>
      <c r="AB225" s="647"/>
      <c r="AC225" s="647"/>
      <c r="AD225" s="647"/>
      <c r="AE225" s="647"/>
      <c r="AF225" s="647"/>
      <c r="AG225" s="647"/>
      <c r="AH225" s="647"/>
      <c r="AI225" s="647"/>
      <c r="AJ225" s="647"/>
      <c r="AK225" s="647"/>
      <c r="AL225" s="647"/>
      <c r="AM225" s="647"/>
      <c r="AN225" s="647"/>
      <c r="AO225" s="647"/>
      <c r="AP225" s="647"/>
      <c r="AQ225" s="647"/>
      <c r="AR225" s="647"/>
      <c r="AS225" s="647"/>
      <c r="AT225" s="647"/>
      <c r="AU225" s="647"/>
      <c r="AV225" s="647"/>
      <c r="AW225" s="647"/>
      <c r="AX225" s="647"/>
      <c r="AY225" s="647"/>
      <c r="AZ225" s="647"/>
      <c r="BA225" s="647"/>
      <c r="BB225" s="647"/>
      <c r="BC225" s="647"/>
      <c r="BD225" s="647"/>
      <c r="BE225" s="647"/>
      <c r="BF225" s="647"/>
      <c r="BG225" s="647"/>
      <c r="BH225" s="647"/>
      <c r="BI225" s="647"/>
      <c r="BJ225" s="647"/>
      <c r="BK225" s="647"/>
      <c r="BL225" s="647"/>
      <c r="BM225" s="647"/>
      <c r="BN225" s="647"/>
      <c r="BO225" s="647"/>
      <c r="BP225" s="647"/>
      <c r="BQ225" s="647"/>
      <c r="BR225" s="647"/>
      <c r="BS225" s="647"/>
      <c r="BT225" s="647"/>
      <c r="BU225" s="647"/>
      <c r="BV225" s="647"/>
      <c r="BW225" s="647"/>
      <c r="BX225" s="647"/>
      <c r="BY225" s="647"/>
      <c r="BZ225" s="647"/>
      <c r="CA225" s="647"/>
      <c r="CB225" s="647"/>
      <c r="CC225" s="647"/>
      <c r="CD225" s="647"/>
      <c r="CE225" s="647"/>
      <c r="CF225" s="647"/>
      <c r="CG225" s="647"/>
      <c r="CH225" s="647"/>
      <c r="CI225" s="647"/>
      <c r="CJ225" s="647"/>
      <c r="CK225" s="647"/>
      <c r="CL225" s="647"/>
      <c r="CM225" s="647"/>
      <c r="CN225" s="647"/>
    </row>
    <row r="226" spans="1:92" ht="24">
      <c r="A226" s="647"/>
      <c r="B226" s="661" t="s">
        <v>99</v>
      </c>
      <c r="C226" s="661" t="s">
        <v>65</v>
      </c>
      <c r="D226" s="661" t="s">
        <v>1104</v>
      </c>
      <c r="E226" s="662" t="s">
        <v>1105</v>
      </c>
      <c r="F226" s="661" t="s">
        <v>1104</v>
      </c>
      <c r="G226" s="661" t="s">
        <v>1105</v>
      </c>
      <c r="H226" s="661" t="s">
        <v>1106</v>
      </c>
      <c r="I226" s="647"/>
      <c r="J226" s="647"/>
      <c r="K226" s="647"/>
      <c r="L226" s="647"/>
      <c r="M226" s="647"/>
      <c r="N226" s="647"/>
      <c r="O226" s="647"/>
      <c r="P226" s="647"/>
      <c r="Q226" s="647"/>
      <c r="R226" s="647"/>
      <c r="S226" s="647"/>
      <c r="T226" s="647"/>
      <c r="U226" s="647"/>
      <c r="V226" s="647"/>
      <c r="W226" s="647"/>
      <c r="X226" s="647"/>
      <c r="Y226" s="647"/>
      <c r="Z226" s="647"/>
      <c r="AA226" s="647"/>
      <c r="AB226" s="647"/>
      <c r="AC226" s="647"/>
      <c r="AD226" s="647"/>
      <c r="AE226" s="647"/>
      <c r="AF226" s="647"/>
      <c r="AG226" s="647"/>
      <c r="AH226" s="647"/>
      <c r="AI226" s="647"/>
      <c r="AJ226" s="647"/>
      <c r="AK226" s="647"/>
      <c r="AL226" s="647"/>
      <c r="AM226" s="647"/>
      <c r="AN226" s="647"/>
      <c r="AO226" s="647"/>
      <c r="AP226" s="647"/>
      <c r="AQ226" s="647"/>
      <c r="AR226" s="647"/>
      <c r="AS226" s="647"/>
      <c r="AT226" s="647"/>
      <c r="AU226" s="647"/>
      <c r="AV226" s="647"/>
      <c r="AW226" s="647"/>
      <c r="AX226" s="647"/>
      <c r="AY226" s="647"/>
      <c r="AZ226" s="647"/>
      <c r="BA226" s="647"/>
      <c r="BB226" s="647"/>
      <c r="BC226" s="647"/>
      <c r="BD226" s="647"/>
      <c r="BE226" s="647"/>
      <c r="BF226" s="647"/>
      <c r="BG226" s="647"/>
      <c r="BH226" s="647"/>
      <c r="BI226" s="647"/>
      <c r="BJ226" s="647"/>
      <c r="BK226" s="647"/>
      <c r="BL226" s="647"/>
      <c r="BM226" s="647"/>
      <c r="BN226" s="647"/>
      <c r="BO226" s="647"/>
      <c r="BP226" s="647"/>
      <c r="BQ226" s="647"/>
      <c r="BR226" s="647"/>
      <c r="BS226" s="647"/>
      <c r="BT226" s="647"/>
      <c r="BU226" s="647"/>
      <c r="BV226" s="647"/>
      <c r="BW226" s="647"/>
      <c r="BX226" s="647"/>
      <c r="BY226" s="647"/>
      <c r="BZ226" s="647"/>
      <c r="CA226" s="647"/>
      <c r="CB226" s="647"/>
      <c r="CC226" s="647"/>
      <c r="CD226" s="647"/>
      <c r="CE226" s="647"/>
      <c r="CF226" s="647"/>
      <c r="CG226" s="647"/>
      <c r="CH226" s="647"/>
      <c r="CI226" s="647"/>
      <c r="CJ226" s="647"/>
      <c r="CK226" s="647"/>
      <c r="CL226" s="647"/>
      <c r="CM226" s="647"/>
      <c r="CN226" s="647"/>
    </row>
    <row r="227" spans="1:92">
      <c r="A227" s="647"/>
      <c r="B227" s="663" t="s">
        <v>1027</v>
      </c>
      <c r="C227" s="663" t="s">
        <v>5</v>
      </c>
      <c r="D227" s="664">
        <v>0</v>
      </c>
      <c r="E227" s="665">
        <v>1373575194</v>
      </c>
      <c r="F227" s="665">
        <v>0</v>
      </c>
      <c r="G227" s="665">
        <v>0</v>
      </c>
      <c r="H227" s="665">
        <v>1373575194</v>
      </c>
      <c r="I227" s="647"/>
      <c r="J227" s="647"/>
      <c r="K227" s="647"/>
      <c r="L227" s="647"/>
      <c r="M227" s="647"/>
      <c r="N227" s="647"/>
      <c r="O227" s="647"/>
      <c r="P227" s="647"/>
      <c r="Q227" s="647"/>
      <c r="R227" s="647"/>
      <c r="S227" s="647"/>
      <c r="T227" s="647"/>
      <c r="U227" s="647"/>
      <c r="V227" s="647"/>
      <c r="W227" s="647"/>
      <c r="X227" s="647"/>
      <c r="Y227" s="647"/>
      <c r="Z227" s="647"/>
      <c r="AA227" s="647"/>
      <c r="AB227" s="647"/>
      <c r="AC227" s="647"/>
      <c r="AD227" s="647"/>
      <c r="AE227" s="647"/>
      <c r="AF227" s="647"/>
      <c r="AG227" s="647"/>
      <c r="AH227" s="647"/>
      <c r="AI227" s="647"/>
      <c r="AJ227" s="647"/>
      <c r="AK227" s="647"/>
      <c r="AL227" s="647"/>
      <c r="AM227" s="647"/>
      <c r="AN227" s="647"/>
      <c r="AO227" s="647"/>
      <c r="AP227" s="647"/>
      <c r="AQ227" s="647"/>
      <c r="AR227" s="647"/>
      <c r="AS227" s="647"/>
      <c r="AT227" s="647"/>
      <c r="AU227" s="647"/>
      <c r="AV227" s="647"/>
      <c r="AW227" s="647"/>
      <c r="AX227" s="647"/>
      <c r="AY227" s="647"/>
      <c r="AZ227" s="647"/>
      <c r="BA227" s="647"/>
      <c r="BB227" s="647"/>
      <c r="BC227" s="647"/>
      <c r="BD227" s="647"/>
      <c r="BE227" s="647"/>
      <c r="BF227" s="647"/>
      <c r="BG227" s="647"/>
      <c r="BH227" s="647"/>
      <c r="BI227" s="647"/>
      <c r="BJ227" s="647"/>
      <c r="BK227" s="647"/>
      <c r="BL227" s="647"/>
      <c r="BM227" s="647"/>
      <c r="BN227" s="647"/>
      <c r="BO227" s="647"/>
      <c r="BP227" s="647"/>
      <c r="BQ227" s="647"/>
      <c r="BR227" s="647"/>
      <c r="BS227" s="647"/>
      <c r="BT227" s="647"/>
      <c r="BU227" s="647"/>
      <c r="BV227" s="647"/>
      <c r="BW227" s="647"/>
      <c r="BX227" s="647"/>
      <c r="BY227" s="647"/>
      <c r="BZ227" s="647"/>
      <c r="CA227" s="647"/>
      <c r="CB227" s="647"/>
      <c r="CC227" s="647"/>
      <c r="CD227" s="647"/>
      <c r="CE227" s="647"/>
      <c r="CF227" s="647"/>
      <c r="CG227" s="647"/>
      <c r="CH227" s="647"/>
      <c r="CI227" s="647"/>
      <c r="CJ227" s="647"/>
      <c r="CK227" s="647"/>
      <c r="CL227" s="647"/>
      <c r="CM227" s="647"/>
      <c r="CN227" s="647"/>
    </row>
    <row r="228" spans="1:92">
      <c r="A228" s="647"/>
      <c r="B228" s="663" t="s">
        <v>1004</v>
      </c>
      <c r="C228" s="663" t="s">
        <v>1011</v>
      </c>
      <c r="D228" s="664">
        <v>0</v>
      </c>
      <c r="E228" s="665">
        <v>0</v>
      </c>
      <c r="F228" s="665">
        <v>0</v>
      </c>
      <c r="G228" s="665">
        <v>0</v>
      </c>
      <c r="H228" s="665">
        <v>0</v>
      </c>
      <c r="I228" s="647"/>
      <c r="J228" s="647"/>
      <c r="K228" s="647"/>
      <c r="L228" s="647"/>
      <c r="M228" s="647"/>
      <c r="N228" s="647"/>
      <c r="O228" s="647"/>
      <c r="P228" s="647"/>
      <c r="Q228" s="647"/>
      <c r="R228" s="647"/>
      <c r="S228" s="647"/>
      <c r="T228" s="647"/>
      <c r="U228" s="647"/>
      <c r="V228" s="647"/>
      <c r="W228" s="647"/>
      <c r="X228" s="647"/>
      <c r="Y228" s="647"/>
      <c r="Z228" s="647"/>
      <c r="AA228" s="647"/>
      <c r="AB228" s="647"/>
      <c r="AC228" s="647"/>
      <c r="AD228" s="647"/>
      <c r="AE228" s="647"/>
      <c r="AF228" s="647"/>
      <c r="AG228" s="647"/>
      <c r="AH228" s="647"/>
      <c r="AI228" s="647"/>
      <c r="AJ228" s="647"/>
      <c r="AK228" s="647"/>
      <c r="AL228" s="647"/>
      <c r="AM228" s="647"/>
      <c r="AN228" s="647"/>
      <c r="AO228" s="647"/>
      <c r="AP228" s="647"/>
      <c r="AQ228" s="647"/>
      <c r="AR228" s="647"/>
      <c r="AS228" s="647"/>
      <c r="AT228" s="647"/>
      <c r="AU228" s="647"/>
      <c r="AV228" s="647"/>
      <c r="AW228" s="647"/>
      <c r="AX228" s="647"/>
      <c r="AY228" s="647"/>
      <c r="AZ228" s="647"/>
      <c r="BA228" s="647"/>
      <c r="BB228" s="647"/>
      <c r="BC228" s="647"/>
      <c r="BD228" s="647"/>
      <c r="BE228" s="647"/>
      <c r="BF228" s="647"/>
      <c r="BG228" s="647"/>
      <c r="BH228" s="647"/>
      <c r="BI228" s="647"/>
      <c r="BJ228" s="647"/>
      <c r="BK228" s="647"/>
      <c r="BL228" s="647"/>
      <c r="BM228" s="647"/>
      <c r="BN228" s="647"/>
      <c r="BO228" s="647"/>
      <c r="BP228" s="647"/>
      <c r="BQ228" s="647"/>
      <c r="BR228" s="647"/>
      <c r="BS228" s="647"/>
      <c r="BT228" s="647"/>
      <c r="BU228" s="647"/>
      <c r="BV228" s="647"/>
      <c r="BW228" s="647"/>
      <c r="BX228" s="647"/>
      <c r="BY228" s="647"/>
      <c r="BZ228" s="647"/>
      <c r="CA228" s="647"/>
      <c r="CB228" s="647"/>
      <c r="CC228" s="647"/>
      <c r="CD228" s="647"/>
      <c r="CE228" s="647"/>
      <c r="CF228" s="647"/>
      <c r="CG228" s="647"/>
      <c r="CH228" s="647"/>
      <c r="CI228" s="647"/>
      <c r="CJ228" s="647"/>
      <c r="CK228" s="647"/>
      <c r="CL228" s="647"/>
      <c r="CM228" s="647"/>
      <c r="CN228" s="647"/>
    </row>
    <row r="229" spans="1:92">
      <c r="A229" s="647"/>
      <c r="B229" s="663" t="s">
        <v>1071</v>
      </c>
      <c r="C229" s="663" t="s">
        <v>1012</v>
      </c>
      <c r="D229" s="664">
        <v>0</v>
      </c>
      <c r="E229" s="665">
        <v>0</v>
      </c>
      <c r="F229" s="665">
        <v>0</v>
      </c>
      <c r="G229" s="665">
        <v>0</v>
      </c>
      <c r="H229" s="665">
        <v>0</v>
      </c>
      <c r="I229" s="647"/>
      <c r="J229" s="647"/>
      <c r="K229" s="647"/>
      <c r="L229" s="647"/>
      <c r="M229" s="647"/>
      <c r="N229" s="647"/>
      <c r="O229" s="647"/>
      <c r="P229" s="647"/>
      <c r="Q229" s="647"/>
      <c r="R229" s="647"/>
      <c r="S229" s="647"/>
      <c r="T229" s="647"/>
      <c r="U229" s="647"/>
      <c r="V229" s="647"/>
      <c r="W229" s="647"/>
      <c r="X229" s="647"/>
      <c r="Y229" s="647"/>
      <c r="Z229" s="647"/>
      <c r="AA229" s="647"/>
      <c r="AB229" s="647"/>
      <c r="AC229" s="647"/>
      <c r="AD229" s="647"/>
      <c r="AE229" s="647"/>
      <c r="AF229" s="647"/>
      <c r="AG229" s="647"/>
      <c r="AH229" s="647"/>
      <c r="AI229" s="647"/>
      <c r="AJ229" s="647"/>
      <c r="AK229" s="647"/>
      <c r="AL229" s="647"/>
      <c r="AM229" s="647"/>
      <c r="AN229" s="647"/>
      <c r="AO229" s="647"/>
      <c r="AP229" s="647"/>
      <c r="AQ229" s="647"/>
      <c r="AR229" s="647"/>
      <c r="AS229" s="647"/>
      <c r="AT229" s="647"/>
      <c r="AU229" s="647"/>
      <c r="AV229" s="647"/>
      <c r="AW229" s="647"/>
      <c r="AX229" s="647"/>
      <c r="AY229" s="647"/>
      <c r="AZ229" s="647"/>
      <c r="BA229" s="647"/>
      <c r="BB229" s="647"/>
      <c r="BC229" s="647"/>
      <c r="BD229" s="647"/>
      <c r="BE229" s="647"/>
      <c r="BF229" s="647"/>
      <c r="BG229" s="647"/>
      <c r="BH229" s="647"/>
      <c r="BI229" s="647"/>
      <c r="BJ229" s="647"/>
      <c r="BK229" s="647"/>
      <c r="BL229" s="647"/>
      <c r="BM229" s="647"/>
      <c r="BN229" s="647"/>
      <c r="BO229" s="647"/>
      <c r="BP229" s="647"/>
      <c r="BQ229" s="647"/>
      <c r="BR229" s="647"/>
      <c r="BS229" s="647"/>
      <c r="BT229" s="647"/>
      <c r="BU229" s="647"/>
      <c r="BV229" s="647"/>
      <c r="BW229" s="647"/>
      <c r="BX229" s="647"/>
      <c r="BY229" s="647"/>
      <c r="BZ229" s="647"/>
      <c r="CA229" s="647"/>
      <c r="CB229" s="647"/>
      <c r="CC229" s="647"/>
      <c r="CD229" s="647"/>
      <c r="CE229" s="647"/>
      <c r="CF229" s="647"/>
      <c r="CG229" s="647"/>
      <c r="CH229" s="647"/>
      <c r="CI229" s="647"/>
      <c r="CJ229" s="647"/>
      <c r="CK229" s="647"/>
      <c r="CL229" s="647"/>
      <c r="CM229" s="647"/>
      <c r="CN229" s="647"/>
    </row>
    <row r="230" spans="1:92">
      <c r="A230" s="647"/>
      <c r="B230" s="663" t="s">
        <v>1076</v>
      </c>
      <c r="C230" s="663" t="s">
        <v>2</v>
      </c>
      <c r="D230" s="664">
        <v>0</v>
      </c>
      <c r="E230" s="665">
        <v>1373575194</v>
      </c>
      <c r="F230" s="665">
        <v>0</v>
      </c>
      <c r="G230" s="665">
        <v>0</v>
      </c>
      <c r="H230" s="665">
        <v>1373575194</v>
      </c>
      <c r="I230" s="647"/>
      <c r="J230" s="647"/>
      <c r="K230" s="647"/>
      <c r="L230" s="647"/>
      <c r="M230" s="647"/>
      <c r="N230" s="647"/>
      <c r="O230" s="647"/>
      <c r="P230" s="647"/>
      <c r="Q230" s="647"/>
      <c r="R230" s="647"/>
      <c r="S230" s="647"/>
      <c r="T230" s="647"/>
      <c r="U230" s="647"/>
      <c r="V230" s="647"/>
      <c r="W230" s="647"/>
      <c r="X230" s="647"/>
      <c r="Y230" s="647"/>
      <c r="Z230" s="647"/>
      <c r="AA230" s="647"/>
      <c r="AB230" s="647"/>
      <c r="AC230" s="647"/>
      <c r="AD230" s="647"/>
      <c r="AE230" s="647"/>
      <c r="AF230" s="647"/>
      <c r="AG230" s="647"/>
      <c r="AH230" s="647"/>
      <c r="AI230" s="647"/>
      <c r="AJ230" s="647"/>
      <c r="AK230" s="647"/>
      <c r="AL230" s="647"/>
      <c r="AM230" s="647"/>
      <c r="AN230" s="647"/>
      <c r="AO230" s="647"/>
      <c r="AP230" s="647"/>
      <c r="AQ230" s="647"/>
      <c r="AR230" s="647"/>
      <c r="AS230" s="647"/>
      <c r="AT230" s="647"/>
      <c r="AU230" s="647"/>
      <c r="AV230" s="647"/>
      <c r="AW230" s="647"/>
      <c r="AX230" s="647"/>
      <c r="AY230" s="647"/>
      <c r="AZ230" s="647"/>
      <c r="BA230" s="647"/>
      <c r="BB230" s="647"/>
      <c r="BC230" s="647"/>
      <c r="BD230" s="647"/>
      <c r="BE230" s="647"/>
      <c r="BF230" s="647"/>
      <c r="BG230" s="647"/>
      <c r="BH230" s="647"/>
      <c r="BI230" s="647"/>
      <c r="BJ230" s="647"/>
      <c r="BK230" s="647"/>
      <c r="BL230" s="647"/>
      <c r="BM230" s="647"/>
      <c r="BN230" s="647"/>
      <c r="BO230" s="647"/>
      <c r="BP230" s="647"/>
      <c r="BQ230" s="647"/>
      <c r="BR230" s="647"/>
      <c r="BS230" s="647"/>
      <c r="BT230" s="647"/>
      <c r="BU230" s="647"/>
      <c r="BV230" s="647"/>
      <c r="BW230" s="647"/>
      <c r="BX230" s="647"/>
      <c r="BY230" s="647"/>
      <c r="BZ230" s="647"/>
      <c r="CA230" s="647"/>
      <c r="CB230" s="647"/>
      <c r="CC230" s="647"/>
      <c r="CD230" s="647"/>
      <c r="CE230" s="647"/>
      <c r="CF230" s="647"/>
      <c r="CG230" s="647"/>
      <c r="CH230" s="647"/>
      <c r="CI230" s="647"/>
      <c r="CJ230" s="647"/>
      <c r="CK230" s="647"/>
      <c r="CL230" s="647"/>
      <c r="CM230" s="647"/>
      <c r="CN230" s="647"/>
    </row>
    <row r="231" spans="1:92">
      <c r="A231" s="647" t="s">
        <v>1007</v>
      </c>
      <c r="B231" s="647" t="s">
        <v>1007</v>
      </c>
      <c r="C231" s="647" t="s">
        <v>1007</v>
      </c>
      <c r="D231" s="647" t="s">
        <v>1007</v>
      </c>
      <c r="F231" s="647"/>
      <c r="G231" s="647"/>
      <c r="H231" s="647"/>
      <c r="I231" s="647"/>
      <c r="J231" s="647"/>
      <c r="K231" s="647"/>
      <c r="L231" s="647"/>
      <c r="M231" s="647"/>
      <c r="N231" s="647"/>
      <c r="O231" s="647"/>
      <c r="P231" s="647"/>
      <c r="Q231" s="647"/>
      <c r="R231" s="647"/>
      <c r="S231" s="647"/>
      <c r="T231" s="647"/>
      <c r="U231" s="647"/>
      <c r="V231" s="647"/>
      <c r="W231" s="647"/>
      <c r="X231" s="647"/>
      <c r="Y231" s="647"/>
      <c r="Z231" s="647"/>
      <c r="AA231" s="647"/>
      <c r="AB231" s="647"/>
      <c r="AC231" s="647"/>
      <c r="AD231" s="647"/>
      <c r="AE231" s="647"/>
      <c r="AF231" s="647"/>
      <c r="AG231" s="647"/>
      <c r="AH231" s="647"/>
      <c r="AI231" s="647"/>
      <c r="AJ231" s="647"/>
      <c r="AK231" s="647"/>
      <c r="AL231" s="647"/>
      <c r="AM231" s="647"/>
      <c r="AN231" s="729"/>
      <c r="AO231" s="729"/>
      <c r="AP231" s="729"/>
      <c r="AQ231" s="729"/>
      <c r="AR231" s="729"/>
      <c r="AS231" s="729"/>
      <c r="AT231" s="729"/>
      <c r="AU231" s="729"/>
      <c r="AV231" s="729"/>
      <c r="AW231" s="729"/>
      <c r="AX231" s="729"/>
      <c r="AY231" s="729"/>
      <c r="AZ231" s="729"/>
      <c r="BA231" s="729"/>
      <c r="BB231" s="729"/>
      <c r="BC231" s="729"/>
      <c r="BD231" s="729"/>
      <c r="BE231" s="729"/>
      <c r="BF231" s="729"/>
      <c r="BG231" s="729"/>
      <c r="BH231" s="729"/>
      <c r="BI231" s="729"/>
      <c r="BJ231" s="729"/>
      <c r="BK231" s="729"/>
      <c r="BL231" s="729"/>
      <c r="BM231" s="729"/>
      <c r="BN231" s="729"/>
      <c r="BO231" s="729"/>
      <c r="BP231" s="729"/>
      <c r="BQ231" s="729"/>
      <c r="BR231" s="729"/>
      <c r="BS231" s="729"/>
      <c r="BT231" s="729"/>
      <c r="BU231" s="729"/>
      <c r="BV231" s="729"/>
      <c r="BW231" s="729"/>
      <c r="BX231" s="729"/>
      <c r="BY231" s="729"/>
      <c r="BZ231" s="729"/>
      <c r="CA231" s="729"/>
      <c r="CB231" s="729"/>
      <c r="CC231" s="729"/>
      <c r="CD231" s="729"/>
      <c r="CE231" s="729"/>
      <c r="CF231" s="729"/>
      <c r="CG231" s="729"/>
      <c r="CH231" s="729"/>
      <c r="CI231" s="729"/>
      <c r="CJ231" s="729"/>
      <c r="CK231" s="729"/>
      <c r="CL231" s="729"/>
      <c r="CM231" s="729"/>
      <c r="CN231" s="729"/>
    </row>
    <row r="232" spans="1:92">
      <c r="A232" s="646" t="s">
        <v>1001</v>
      </c>
      <c r="B232" s="647"/>
      <c r="C232" s="647"/>
      <c r="D232" s="647"/>
      <c r="F232" s="647"/>
      <c r="G232" s="647"/>
      <c r="H232" s="647"/>
      <c r="I232" s="647"/>
      <c r="J232" s="647"/>
      <c r="K232" s="647"/>
      <c r="L232" s="647"/>
      <c r="M232" s="647"/>
      <c r="N232" s="647"/>
      <c r="O232" s="647"/>
      <c r="P232" s="647"/>
      <c r="Q232" s="647"/>
      <c r="R232" s="647"/>
      <c r="S232" s="647"/>
      <c r="T232" s="647"/>
      <c r="U232" s="647"/>
      <c r="V232" s="647"/>
      <c r="W232" s="647"/>
      <c r="X232" s="647"/>
      <c r="Y232" s="647"/>
      <c r="Z232" s="647"/>
      <c r="AA232" s="647"/>
      <c r="AB232" s="647"/>
      <c r="AC232" s="647"/>
      <c r="AD232" s="647"/>
      <c r="AE232" s="647"/>
      <c r="AF232" s="647"/>
      <c r="AG232" s="647"/>
      <c r="AH232" s="647"/>
      <c r="AI232" s="647"/>
      <c r="AJ232" s="647"/>
      <c r="AK232" s="647"/>
      <c r="AL232" s="647"/>
      <c r="AM232" s="647"/>
      <c r="AN232" s="647"/>
      <c r="AO232" s="647"/>
      <c r="AP232" s="647"/>
      <c r="AQ232" s="647"/>
      <c r="AR232" s="647"/>
      <c r="AS232" s="647"/>
      <c r="AT232" s="647"/>
      <c r="AU232" s="647"/>
      <c r="AV232" s="647"/>
      <c r="AW232" s="647"/>
      <c r="AX232" s="647"/>
      <c r="AY232" s="647"/>
      <c r="AZ232" s="647"/>
      <c r="BA232" s="647"/>
      <c r="BB232" s="647"/>
      <c r="BC232" s="647"/>
      <c r="BD232" s="647"/>
      <c r="BE232" s="647"/>
      <c r="BF232" s="647"/>
      <c r="BG232" s="647"/>
      <c r="BH232" s="647"/>
      <c r="BI232" s="647"/>
      <c r="BJ232" s="647"/>
      <c r="BK232" s="647"/>
      <c r="BL232" s="647"/>
      <c r="BM232" s="647"/>
      <c r="BN232" s="647"/>
      <c r="BO232" s="647"/>
      <c r="BP232" s="647"/>
      <c r="BQ232" s="647"/>
      <c r="BR232" s="647"/>
      <c r="BS232" s="647"/>
      <c r="BT232" s="647"/>
      <c r="BU232" s="647"/>
      <c r="BV232" s="647"/>
      <c r="BW232" s="647"/>
      <c r="BX232" s="647"/>
      <c r="BY232" s="647"/>
      <c r="BZ232" s="647"/>
      <c r="CA232" s="647"/>
      <c r="CB232" s="647"/>
      <c r="CC232" s="647"/>
      <c r="CD232" s="647"/>
      <c r="CE232" s="647"/>
      <c r="CF232" s="647"/>
      <c r="CG232" s="647"/>
      <c r="CH232" s="647"/>
      <c r="CI232" s="647"/>
      <c r="CJ232" s="647"/>
      <c r="CK232" s="647"/>
      <c r="CL232" s="647"/>
      <c r="CM232" s="647"/>
      <c r="CN232" s="647"/>
    </row>
    <row r="233" spans="1:92">
      <c r="A233" s="647"/>
      <c r="B233" s="646" t="s">
        <v>1107</v>
      </c>
      <c r="C233" s="647"/>
      <c r="D233" s="647"/>
      <c r="F233" s="647"/>
      <c r="G233" s="647"/>
      <c r="H233" s="647"/>
      <c r="I233" s="647"/>
      <c r="J233" s="647"/>
      <c r="K233" s="647"/>
      <c r="L233" s="647"/>
      <c r="M233" s="647"/>
      <c r="N233" s="647"/>
      <c r="O233" s="647"/>
      <c r="P233" s="647"/>
      <c r="Q233" s="647"/>
      <c r="R233" s="647"/>
      <c r="S233" s="647"/>
      <c r="T233" s="647"/>
      <c r="U233" s="647"/>
      <c r="V233" s="647"/>
      <c r="W233" s="647"/>
      <c r="X233" s="647"/>
      <c r="Y233" s="647"/>
      <c r="Z233" s="647"/>
      <c r="AA233" s="647"/>
      <c r="AB233" s="647"/>
      <c r="AC233" s="647"/>
      <c r="AD233" s="647"/>
      <c r="AE233" s="647"/>
      <c r="AF233" s="647"/>
      <c r="AG233" s="647"/>
      <c r="AH233" s="647"/>
      <c r="AI233" s="647"/>
      <c r="AJ233" s="647"/>
      <c r="AK233" s="647"/>
      <c r="AL233" s="647"/>
      <c r="AM233" s="647"/>
      <c r="AN233" s="647"/>
      <c r="AO233" s="647"/>
      <c r="AP233" s="647"/>
      <c r="AQ233" s="647"/>
      <c r="AR233" s="647"/>
      <c r="AS233" s="647"/>
      <c r="AT233" s="647"/>
      <c r="AU233" s="647"/>
      <c r="AV233" s="647"/>
      <c r="AW233" s="647"/>
      <c r="AX233" s="647"/>
      <c r="AY233" s="647"/>
      <c r="AZ233" s="647"/>
      <c r="BA233" s="647"/>
      <c r="BB233" s="647"/>
      <c r="BC233" s="647"/>
      <c r="BD233" s="647"/>
      <c r="BE233" s="647"/>
      <c r="BF233" s="647"/>
      <c r="BG233" s="647"/>
      <c r="BH233" s="647"/>
      <c r="BI233" s="647"/>
      <c r="BJ233" s="647"/>
      <c r="BK233" s="647"/>
      <c r="BL233" s="647"/>
      <c r="BM233" s="647"/>
      <c r="BN233" s="647"/>
      <c r="BO233" s="647"/>
      <c r="BP233" s="647"/>
      <c r="BQ233" s="647"/>
      <c r="BR233" s="647"/>
      <c r="BS233" s="647"/>
      <c r="BT233" s="647"/>
      <c r="BU233" s="647"/>
      <c r="BV233" s="647"/>
      <c r="BW233" s="647"/>
      <c r="BX233" s="647"/>
      <c r="BY233" s="647"/>
      <c r="BZ233" s="647"/>
      <c r="CA233" s="647"/>
      <c r="CB233" s="647"/>
      <c r="CC233" s="647"/>
      <c r="CD233" s="647"/>
      <c r="CE233" s="647"/>
      <c r="CF233" s="647"/>
      <c r="CG233" s="647"/>
      <c r="CH233" s="647"/>
      <c r="CI233" s="647"/>
      <c r="CJ233" s="647"/>
      <c r="CK233" s="647"/>
      <c r="CL233" s="647"/>
      <c r="CM233" s="647"/>
      <c r="CN233" s="647"/>
    </row>
    <row r="234" spans="1:92">
      <c r="A234" s="647"/>
      <c r="B234" s="647"/>
      <c r="C234" s="647"/>
      <c r="D234" s="647"/>
      <c r="F234" s="660"/>
      <c r="G234" s="647"/>
      <c r="H234" s="647"/>
      <c r="I234" s="647"/>
      <c r="J234" s="647"/>
      <c r="K234" s="647"/>
      <c r="L234" s="647"/>
      <c r="M234" s="647"/>
      <c r="N234" s="647"/>
      <c r="O234" s="647"/>
      <c r="P234" s="647"/>
      <c r="Q234" s="647"/>
      <c r="R234" s="647"/>
      <c r="S234" s="647"/>
      <c r="T234" s="647"/>
      <c r="U234" s="647"/>
      <c r="V234" s="647"/>
      <c r="W234" s="647"/>
      <c r="X234" s="647"/>
      <c r="Y234" s="647"/>
      <c r="Z234" s="647"/>
      <c r="AA234" s="647"/>
      <c r="AB234" s="647"/>
      <c r="AC234" s="647"/>
      <c r="AD234" s="647"/>
      <c r="AE234" s="647"/>
      <c r="AF234" s="647"/>
      <c r="AG234" s="647"/>
      <c r="AH234" s="647"/>
      <c r="AI234" s="647"/>
      <c r="AJ234" s="647"/>
      <c r="AK234" s="647"/>
      <c r="AL234" s="647"/>
      <c r="AM234" s="647"/>
      <c r="AN234" s="647"/>
      <c r="AO234" s="647"/>
      <c r="AP234" s="647"/>
      <c r="AQ234" s="647"/>
      <c r="AR234" s="647"/>
      <c r="AS234" s="647"/>
      <c r="AT234" s="647"/>
      <c r="AU234" s="647"/>
      <c r="AV234" s="647"/>
      <c r="AW234" s="647"/>
      <c r="AX234" s="647"/>
      <c r="AY234" s="647"/>
      <c r="AZ234" s="647"/>
      <c r="BA234" s="647"/>
      <c r="BB234" s="647"/>
      <c r="BC234" s="647"/>
      <c r="BD234" s="647"/>
      <c r="BE234" s="647"/>
      <c r="BF234" s="647"/>
      <c r="BG234" s="647"/>
      <c r="BH234" s="647"/>
      <c r="BI234" s="647"/>
      <c r="BJ234" s="647"/>
      <c r="BK234" s="647"/>
      <c r="BL234" s="647"/>
      <c r="BM234" s="647"/>
      <c r="BN234" s="647"/>
      <c r="BO234" s="647"/>
      <c r="BP234" s="647"/>
      <c r="BQ234" s="647"/>
      <c r="BR234" s="647"/>
      <c r="BS234" s="647"/>
      <c r="BT234" s="647"/>
      <c r="BU234" s="647"/>
      <c r="BV234" s="647"/>
      <c r="BW234" s="647"/>
      <c r="BX234" s="647"/>
      <c r="BY234" s="647"/>
      <c r="BZ234" s="647"/>
      <c r="CA234" s="647"/>
      <c r="CB234" s="647"/>
      <c r="CC234" s="647"/>
      <c r="CD234" s="647"/>
      <c r="CE234" s="647"/>
      <c r="CF234" s="647"/>
      <c r="CG234" s="647"/>
      <c r="CH234" s="647"/>
      <c r="CI234" s="647"/>
      <c r="CJ234" s="647"/>
      <c r="CK234" s="647"/>
      <c r="CL234" s="647"/>
      <c r="CM234" s="647"/>
      <c r="CN234" s="647"/>
    </row>
    <row r="235" spans="1:92" ht="60">
      <c r="A235" s="647"/>
      <c r="B235" s="661" t="s">
        <v>99</v>
      </c>
      <c r="C235" s="661" t="s">
        <v>65</v>
      </c>
      <c r="D235" s="661" t="s">
        <v>1108</v>
      </c>
      <c r="E235" s="662" t="s">
        <v>1109</v>
      </c>
      <c r="F235" s="661" t="s">
        <v>95</v>
      </c>
      <c r="G235" s="647"/>
      <c r="H235" s="647"/>
      <c r="I235" s="647"/>
      <c r="J235" s="647"/>
      <c r="K235" s="647"/>
      <c r="L235" s="647"/>
      <c r="M235" s="647"/>
      <c r="N235" s="647"/>
      <c r="O235" s="647"/>
      <c r="P235" s="647"/>
      <c r="Q235" s="647"/>
      <c r="R235" s="647"/>
      <c r="S235" s="647"/>
      <c r="T235" s="647"/>
      <c r="U235" s="647"/>
      <c r="V235" s="647"/>
      <c r="W235" s="647"/>
      <c r="X235" s="647"/>
      <c r="Y235" s="647"/>
      <c r="Z235" s="647"/>
      <c r="AA235" s="647"/>
      <c r="AB235" s="647"/>
      <c r="AC235" s="647"/>
      <c r="AD235" s="647"/>
      <c r="AE235" s="647"/>
      <c r="AF235" s="647"/>
      <c r="AG235" s="647"/>
      <c r="AH235" s="647"/>
      <c r="AI235" s="647"/>
      <c r="AJ235" s="647"/>
      <c r="AK235" s="647"/>
      <c r="AL235" s="647"/>
      <c r="AM235" s="647"/>
      <c r="AN235" s="647"/>
      <c r="AO235" s="647"/>
      <c r="AP235" s="647"/>
      <c r="AQ235" s="647"/>
      <c r="AR235" s="647"/>
      <c r="AS235" s="647"/>
      <c r="AT235" s="647"/>
      <c r="AU235" s="647"/>
      <c r="AV235" s="647"/>
      <c r="AW235" s="647"/>
      <c r="AX235" s="647"/>
      <c r="AY235" s="647"/>
      <c r="AZ235" s="647"/>
      <c r="BA235" s="647"/>
      <c r="BB235" s="647"/>
      <c r="BC235" s="647"/>
      <c r="BD235" s="647"/>
      <c r="BE235" s="647"/>
      <c r="BF235" s="647"/>
      <c r="BG235" s="647"/>
      <c r="BH235" s="647"/>
      <c r="BI235" s="647"/>
      <c r="BJ235" s="647"/>
      <c r="BK235" s="647"/>
      <c r="BL235" s="647"/>
      <c r="BM235" s="647"/>
      <c r="BN235" s="647"/>
      <c r="BO235" s="647"/>
      <c r="BP235" s="647"/>
      <c r="BQ235" s="647"/>
      <c r="BR235" s="647"/>
      <c r="BS235" s="647"/>
      <c r="BT235" s="647"/>
      <c r="BU235" s="647"/>
      <c r="BV235" s="647"/>
      <c r="BW235" s="647"/>
      <c r="BX235" s="647"/>
      <c r="BY235" s="647"/>
      <c r="BZ235" s="647"/>
      <c r="CA235" s="647"/>
      <c r="CB235" s="647"/>
      <c r="CC235" s="647"/>
      <c r="CD235" s="647"/>
      <c r="CE235" s="647"/>
      <c r="CF235" s="647"/>
      <c r="CG235" s="647"/>
      <c r="CH235" s="647"/>
      <c r="CI235" s="647"/>
      <c r="CJ235" s="647"/>
      <c r="CK235" s="647"/>
      <c r="CL235" s="647"/>
      <c r="CM235" s="647"/>
      <c r="CN235" s="647"/>
    </row>
    <row r="236" spans="1:92">
      <c r="A236" s="647"/>
      <c r="B236" s="663" t="s">
        <v>1003</v>
      </c>
      <c r="C236" s="663" t="s">
        <v>5</v>
      </c>
      <c r="D236" s="664">
        <v>0</v>
      </c>
      <c r="E236" s="665">
        <v>0</v>
      </c>
      <c r="F236" s="664">
        <v>0</v>
      </c>
      <c r="G236" s="647"/>
      <c r="H236" s="647"/>
      <c r="I236" s="647"/>
      <c r="J236" s="647"/>
      <c r="K236" s="647"/>
      <c r="L236" s="647"/>
      <c r="M236" s="647"/>
      <c r="N236" s="647"/>
      <c r="O236" s="647"/>
      <c r="P236" s="647"/>
      <c r="Q236" s="647"/>
      <c r="R236" s="647"/>
      <c r="S236" s="647"/>
      <c r="T236" s="647"/>
      <c r="U236" s="647"/>
      <c r="V236" s="647"/>
      <c r="W236" s="647"/>
      <c r="X236" s="647"/>
      <c r="Y236" s="647"/>
      <c r="Z236" s="647"/>
      <c r="AA236" s="647"/>
      <c r="AB236" s="647"/>
      <c r="AC236" s="647"/>
      <c r="AD236" s="647"/>
      <c r="AE236" s="647"/>
      <c r="AF236" s="647"/>
      <c r="AG236" s="647"/>
      <c r="AH236" s="647"/>
      <c r="AI236" s="647"/>
      <c r="AJ236" s="647"/>
      <c r="AK236" s="647"/>
      <c r="AL236" s="647"/>
      <c r="AM236" s="647"/>
      <c r="AN236" s="647"/>
      <c r="AO236" s="647"/>
      <c r="AP236" s="647"/>
      <c r="AQ236" s="647"/>
      <c r="AR236" s="647"/>
      <c r="AS236" s="647"/>
      <c r="AT236" s="647"/>
      <c r="AU236" s="647"/>
      <c r="AV236" s="647"/>
      <c r="AW236" s="647"/>
      <c r="AX236" s="647"/>
      <c r="AY236" s="647"/>
      <c r="AZ236" s="647"/>
      <c r="BA236" s="647"/>
      <c r="BB236" s="647"/>
      <c r="BC236" s="647"/>
      <c r="BD236" s="647"/>
      <c r="BE236" s="647"/>
      <c r="BF236" s="647"/>
      <c r="BG236" s="647"/>
      <c r="BH236" s="647"/>
      <c r="BI236" s="647"/>
      <c r="BJ236" s="647"/>
      <c r="BK236" s="647"/>
      <c r="BL236" s="647"/>
      <c r="BM236" s="647"/>
      <c r="BN236" s="647"/>
      <c r="BO236" s="647"/>
      <c r="BP236" s="647"/>
      <c r="BQ236" s="647"/>
      <c r="BR236" s="647"/>
      <c r="BS236" s="647"/>
      <c r="BT236" s="647"/>
      <c r="BU236" s="647"/>
      <c r="BV236" s="647"/>
      <c r="BW236" s="647"/>
      <c r="BX236" s="647"/>
      <c r="BY236" s="647"/>
      <c r="BZ236" s="647"/>
      <c r="CA236" s="647"/>
      <c r="CB236" s="647"/>
      <c r="CC236" s="647"/>
      <c r="CD236" s="647"/>
      <c r="CE236" s="647"/>
      <c r="CF236" s="647"/>
      <c r="CG236" s="647"/>
      <c r="CH236" s="647"/>
      <c r="CI236" s="647"/>
      <c r="CJ236" s="647"/>
      <c r="CK236" s="647"/>
      <c r="CL236" s="647"/>
      <c r="CM236" s="647"/>
      <c r="CN236" s="647"/>
    </row>
    <row r="237" spans="1:92">
      <c r="A237" s="647"/>
      <c r="B237" s="663" t="s">
        <v>1004</v>
      </c>
      <c r="C237" s="663" t="s">
        <v>1029</v>
      </c>
      <c r="D237" s="664">
        <v>0</v>
      </c>
      <c r="E237" s="665">
        <v>0</v>
      </c>
      <c r="F237" s="664">
        <v>0</v>
      </c>
      <c r="G237" s="647"/>
      <c r="H237" s="647"/>
      <c r="I237" s="647"/>
      <c r="J237" s="647"/>
      <c r="K237" s="647"/>
      <c r="L237" s="647"/>
      <c r="M237" s="647"/>
      <c r="N237" s="647"/>
      <c r="O237" s="647"/>
      <c r="P237" s="647"/>
      <c r="Q237" s="647"/>
      <c r="R237" s="647"/>
      <c r="S237" s="647"/>
      <c r="T237" s="647"/>
      <c r="U237" s="647"/>
      <c r="V237" s="647"/>
      <c r="W237" s="647"/>
      <c r="X237" s="647"/>
      <c r="Y237" s="647"/>
      <c r="Z237" s="647"/>
      <c r="AA237" s="647"/>
      <c r="AB237" s="647"/>
      <c r="AC237" s="647"/>
      <c r="AD237" s="647"/>
      <c r="AE237" s="647"/>
      <c r="AF237" s="647"/>
      <c r="AG237" s="647"/>
      <c r="AH237" s="647"/>
      <c r="AI237" s="647"/>
      <c r="AJ237" s="647"/>
      <c r="AK237" s="647"/>
      <c r="AL237" s="647"/>
      <c r="AM237" s="647"/>
      <c r="AN237" s="647"/>
      <c r="AO237" s="647"/>
      <c r="AP237" s="647"/>
      <c r="AQ237" s="647"/>
      <c r="AR237" s="647"/>
      <c r="AS237" s="647"/>
      <c r="AT237" s="647"/>
      <c r="AU237" s="647"/>
      <c r="AV237" s="647"/>
      <c r="AW237" s="647"/>
      <c r="AX237" s="647"/>
      <c r="AY237" s="647"/>
      <c r="AZ237" s="647"/>
      <c r="BA237" s="647"/>
      <c r="BB237" s="647"/>
      <c r="BC237" s="647"/>
      <c r="BD237" s="647"/>
      <c r="BE237" s="647"/>
      <c r="BF237" s="647"/>
      <c r="BG237" s="647"/>
      <c r="BH237" s="647"/>
      <c r="BI237" s="647"/>
      <c r="BJ237" s="647"/>
      <c r="BK237" s="647"/>
      <c r="BL237" s="647"/>
      <c r="BM237" s="647"/>
      <c r="BN237" s="647"/>
      <c r="BO237" s="647"/>
      <c r="BP237" s="647"/>
      <c r="BQ237" s="647"/>
      <c r="BR237" s="647"/>
      <c r="BS237" s="647"/>
      <c r="BT237" s="647"/>
      <c r="BU237" s="647"/>
      <c r="BV237" s="647"/>
      <c r="BW237" s="647"/>
      <c r="BX237" s="647"/>
      <c r="BY237" s="647"/>
      <c r="BZ237" s="647"/>
      <c r="CA237" s="647"/>
      <c r="CB237" s="647"/>
      <c r="CC237" s="647"/>
      <c r="CD237" s="647"/>
      <c r="CE237" s="647"/>
      <c r="CF237" s="647"/>
      <c r="CG237" s="647"/>
      <c r="CH237" s="647"/>
      <c r="CI237" s="647"/>
      <c r="CJ237" s="647"/>
      <c r="CK237" s="647"/>
      <c r="CL237" s="647"/>
      <c r="CM237" s="647"/>
      <c r="CN237" s="647"/>
    </row>
    <row r="238" spans="1:92" ht="24">
      <c r="A238" s="647"/>
      <c r="B238" s="663" t="s">
        <v>1100</v>
      </c>
      <c r="C238" s="663" t="s">
        <v>1110</v>
      </c>
      <c r="D238" s="664">
        <v>0</v>
      </c>
      <c r="E238" s="665">
        <v>0</v>
      </c>
      <c r="F238" s="664">
        <v>0</v>
      </c>
      <c r="G238" s="647"/>
      <c r="H238" s="647"/>
      <c r="I238" s="647"/>
      <c r="J238" s="647"/>
      <c r="K238" s="647"/>
      <c r="L238" s="647"/>
      <c r="M238" s="647"/>
      <c r="N238" s="647"/>
      <c r="O238" s="647"/>
      <c r="P238" s="647"/>
      <c r="Q238" s="647"/>
      <c r="R238" s="647"/>
      <c r="S238" s="647"/>
      <c r="T238" s="647"/>
      <c r="U238" s="647"/>
      <c r="V238" s="647"/>
      <c r="W238" s="647"/>
      <c r="X238" s="647"/>
      <c r="Y238" s="647"/>
      <c r="Z238" s="647"/>
      <c r="AA238" s="647"/>
      <c r="AB238" s="647"/>
      <c r="AC238" s="647"/>
      <c r="AD238" s="647"/>
      <c r="AE238" s="647"/>
      <c r="AF238" s="647"/>
      <c r="AG238" s="647"/>
      <c r="AH238" s="647"/>
      <c r="AI238" s="647"/>
      <c r="AJ238" s="647"/>
      <c r="AK238" s="647"/>
      <c r="AL238" s="647"/>
      <c r="AM238" s="647"/>
      <c r="AN238" s="647"/>
      <c r="AO238" s="647"/>
      <c r="AP238" s="647"/>
      <c r="AQ238" s="647"/>
      <c r="AR238" s="647"/>
      <c r="AS238" s="647"/>
      <c r="AT238" s="647"/>
      <c r="AU238" s="647"/>
      <c r="AV238" s="647"/>
      <c r="AW238" s="647"/>
      <c r="AX238" s="647"/>
      <c r="AY238" s="647"/>
      <c r="AZ238" s="647"/>
      <c r="BA238" s="647"/>
      <c r="BB238" s="647"/>
      <c r="BC238" s="647"/>
      <c r="BD238" s="647"/>
      <c r="BE238" s="647"/>
      <c r="BF238" s="647"/>
      <c r="BG238" s="647"/>
      <c r="BH238" s="647"/>
      <c r="BI238" s="647"/>
      <c r="BJ238" s="647"/>
      <c r="BK238" s="647"/>
      <c r="BL238" s="647"/>
      <c r="BM238" s="647"/>
      <c r="BN238" s="647"/>
      <c r="BO238" s="647"/>
      <c r="BP238" s="647"/>
      <c r="BQ238" s="647"/>
      <c r="BR238" s="647"/>
      <c r="BS238" s="647"/>
      <c r="BT238" s="647"/>
      <c r="BU238" s="647"/>
      <c r="BV238" s="647"/>
      <c r="BW238" s="647"/>
      <c r="BX238" s="647"/>
      <c r="BY238" s="647"/>
      <c r="BZ238" s="647"/>
      <c r="CA238" s="647"/>
      <c r="CB238" s="647"/>
      <c r="CC238" s="647"/>
      <c r="CD238" s="647"/>
      <c r="CE238" s="647"/>
      <c r="CF238" s="647"/>
      <c r="CG238" s="647"/>
      <c r="CH238" s="647"/>
      <c r="CI238" s="647"/>
      <c r="CJ238" s="647"/>
      <c r="CK238" s="647"/>
      <c r="CL238" s="647"/>
      <c r="CM238" s="647"/>
      <c r="CN238" s="647"/>
    </row>
    <row r="239" spans="1:92" ht="48">
      <c r="A239" s="647"/>
      <c r="B239" s="663" t="s">
        <v>1102</v>
      </c>
      <c r="C239" s="663" t="s">
        <v>1111</v>
      </c>
      <c r="D239" s="664">
        <v>0</v>
      </c>
      <c r="E239" s="665">
        <v>0</v>
      </c>
      <c r="F239" s="664">
        <v>0</v>
      </c>
      <c r="G239" s="647"/>
      <c r="H239" s="647"/>
      <c r="I239" s="647"/>
      <c r="J239" s="647"/>
      <c r="K239" s="647"/>
      <c r="L239" s="647"/>
      <c r="M239" s="647"/>
      <c r="N239" s="647"/>
      <c r="O239" s="647"/>
      <c r="P239" s="647"/>
      <c r="Q239" s="647"/>
      <c r="R239" s="647"/>
      <c r="S239" s="647"/>
      <c r="T239" s="647"/>
      <c r="U239" s="647"/>
      <c r="V239" s="647"/>
      <c r="W239" s="647"/>
      <c r="X239" s="647"/>
      <c r="Y239" s="647"/>
      <c r="Z239" s="647"/>
      <c r="AA239" s="647"/>
      <c r="AB239" s="647"/>
      <c r="AC239" s="647"/>
      <c r="AD239" s="647"/>
      <c r="AE239" s="647"/>
      <c r="AF239" s="647"/>
      <c r="AG239" s="647"/>
      <c r="AH239" s="647"/>
      <c r="AI239" s="647"/>
      <c r="AJ239" s="647"/>
      <c r="AK239" s="647"/>
      <c r="AL239" s="647"/>
      <c r="AM239" s="647"/>
      <c r="AN239" s="647"/>
      <c r="AO239" s="647"/>
      <c r="AP239" s="647"/>
      <c r="AQ239" s="647"/>
      <c r="AR239" s="647"/>
      <c r="AS239" s="647"/>
      <c r="AT239" s="647"/>
      <c r="AU239" s="647"/>
      <c r="AV239" s="647"/>
      <c r="AW239" s="647"/>
      <c r="AX239" s="647"/>
      <c r="AY239" s="647"/>
      <c r="AZ239" s="647"/>
      <c r="BA239" s="647"/>
      <c r="BB239" s="647"/>
      <c r="BC239" s="647"/>
      <c r="BD239" s="647"/>
      <c r="BE239" s="647"/>
      <c r="BF239" s="647"/>
      <c r="BG239" s="647"/>
      <c r="BH239" s="647"/>
      <c r="BI239" s="647"/>
      <c r="BJ239" s="647"/>
      <c r="BK239" s="647"/>
      <c r="BL239" s="647"/>
      <c r="BM239" s="647"/>
      <c r="BN239" s="647"/>
      <c r="BO239" s="647"/>
      <c r="BP239" s="647"/>
      <c r="BQ239" s="647"/>
      <c r="BR239" s="647"/>
      <c r="BS239" s="647"/>
      <c r="BT239" s="647"/>
      <c r="BU239" s="647"/>
      <c r="BV239" s="647"/>
      <c r="BW239" s="647"/>
      <c r="BX239" s="647"/>
      <c r="BY239" s="647"/>
      <c r="BZ239" s="647"/>
      <c r="CA239" s="647"/>
      <c r="CB239" s="647"/>
      <c r="CC239" s="647"/>
      <c r="CD239" s="647"/>
      <c r="CE239" s="647"/>
      <c r="CF239" s="647"/>
      <c r="CG239" s="647"/>
      <c r="CH239" s="647"/>
      <c r="CI239" s="647"/>
      <c r="CJ239" s="647"/>
      <c r="CK239" s="647"/>
      <c r="CL239" s="647"/>
      <c r="CM239" s="647"/>
      <c r="CN239" s="647"/>
    </row>
    <row r="240" spans="1:92">
      <c r="A240" s="647"/>
      <c r="B240" s="663" t="s">
        <v>1005</v>
      </c>
      <c r="C240" s="663" t="s">
        <v>1030</v>
      </c>
      <c r="D240" s="664">
        <v>0</v>
      </c>
      <c r="E240" s="665">
        <v>0</v>
      </c>
      <c r="F240" s="664">
        <v>0</v>
      </c>
      <c r="G240" s="647"/>
      <c r="H240" s="647"/>
      <c r="I240" s="647"/>
      <c r="J240" s="647"/>
      <c r="K240" s="647"/>
      <c r="L240" s="647"/>
      <c r="M240" s="647"/>
      <c r="N240" s="647"/>
      <c r="O240" s="647"/>
      <c r="P240" s="647"/>
      <c r="Q240" s="647"/>
      <c r="R240" s="647"/>
      <c r="S240" s="647"/>
      <c r="T240" s="647"/>
      <c r="U240" s="647"/>
      <c r="V240" s="647"/>
      <c r="W240" s="647"/>
      <c r="X240" s="647"/>
      <c r="Y240" s="647"/>
      <c r="Z240" s="647"/>
      <c r="AA240" s="647"/>
      <c r="AB240" s="647"/>
      <c r="AC240" s="647"/>
      <c r="AD240" s="647"/>
      <c r="AE240" s="647"/>
      <c r="AF240" s="647"/>
      <c r="AG240" s="647"/>
      <c r="AH240" s="647"/>
      <c r="AI240" s="647"/>
      <c r="AJ240" s="647"/>
      <c r="AK240" s="647"/>
      <c r="AL240" s="647"/>
      <c r="AM240" s="647"/>
      <c r="AN240" s="647"/>
      <c r="AO240" s="647"/>
      <c r="AP240" s="647"/>
      <c r="AQ240" s="647"/>
      <c r="AR240" s="647"/>
      <c r="AS240" s="647"/>
      <c r="AT240" s="647"/>
      <c r="AU240" s="647"/>
      <c r="AV240" s="647"/>
      <c r="AW240" s="647"/>
      <c r="AX240" s="647"/>
      <c r="AY240" s="647"/>
      <c r="AZ240" s="647"/>
      <c r="BA240" s="647"/>
      <c r="BB240" s="647"/>
      <c r="BC240" s="647"/>
      <c r="BD240" s="647"/>
      <c r="BE240" s="647"/>
      <c r="BF240" s="647"/>
      <c r="BG240" s="647"/>
      <c r="BH240" s="647"/>
      <c r="BI240" s="647"/>
      <c r="BJ240" s="647"/>
      <c r="BK240" s="647"/>
      <c r="BL240" s="647"/>
      <c r="BM240" s="647"/>
      <c r="BN240" s="647"/>
      <c r="BO240" s="647"/>
      <c r="BP240" s="647"/>
      <c r="BQ240" s="647"/>
      <c r="BR240" s="647"/>
      <c r="BS240" s="647"/>
      <c r="BT240" s="647"/>
      <c r="BU240" s="647"/>
      <c r="BV240" s="647"/>
      <c r="BW240" s="647"/>
      <c r="BX240" s="647"/>
      <c r="BY240" s="647"/>
      <c r="BZ240" s="647"/>
      <c r="CA240" s="647"/>
      <c r="CB240" s="647"/>
      <c r="CC240" s="647"/>
      <c r="CD240" s="647"/>
      <c r="CE240" s="647"/>
      <c r="CF240" s="647"/>
      <c r="CG240" s="647"/>
      <c r="CH240" s="647"/>
      <c r="CI240" s="647"/>
      <c r="CJ240" s="647"/>
      <c r="CK240" s="647"/>
      <c r="CL240" s="647"/>
      <c r="CM240" s="647"/>
      <c r="CN240" s="647"/>
    </row>
    <row r="241" spans="1:92" ht="24">
      <c r="A241" s="647"/>
      <c r="B241" s="663" t="s">
        <v>1013</v>
      </c>
      <c r="C241" s="663" t="s">
        <v>1110</v>
      </c>
      <c r="D241" s="664">
        <v>0</v>
      </c>
      <c r="E241" s="665">
        <v>0</v>
      </c>
      <c r="F241" s="664">
        <v>0</v>
      </c>
      <c r="G241" s="647"/>
      <c r="H241" s="647"/>
      <c r="I241" s="647"/>
      <c r="J241" s="647"/>
      <c r="K241" s="647"/>
      <c r="L241" s="647"/>
      <c r="M241" s="647"/>
      <c r="N241" s="647"/>
      <c r="O241" s="647"/>
      <c r="P241" s="647"/>
      <c r="Q241" s="647"/>
      <c r="R241" s="647"/>
      <c r="S241" s="647"/>
      <c r="T241" s="647"/>
      <c r="U241" s="647"/>
      <c r="V241" s="647"/>
      <c r="W241" s="647"/>
      <c r="X241" s="647"/>
      <c r="Y241" s="647"/>
      <c r="Z241" s="647"/>
      <c r="AA241" s="647"/>
      <c r="AB241" s="647"/>
      <c r="AC241" s="647"/>
      <c r="AD241" s="647"/>
      <c r="AE241" s="647"/>
      <c r="AF241" s="647"/>
      <c r="AG241" s="647"/>
      <c r="AH241" s="647"/>
      <c r="AI241" s="647"/>
      <c r="AJ241" s="647"/>
      <c r="AK241" s="647"/>
      <c r="AL241" s="647"/>
      <c r="AM241" s="647"/>
      <c r="AN241" s="647"/>
      <c r="AO241" s="647"/>
      <c r="AP241" s="647"/>
      <c r="AQ241" s="647"/>
      <c r="AR241" s="647"/>
      <c r="AS241" s="647"/>
      <c r="AT241" s="647"/>
      <c r="AU241" s="647"/>
      <c r="AV241" s="647"/>
      <c r="AW241" s="647"/>
      <c r="AX241" s="647"/>
      <c r="AY241" s="647"/>
      <c r="AZ241" s="647"/>
      <c r="BA241" s="647"/>
      <c r="BB241" s="647"/>
      <c r="BC241" s="647"/>
      <c r="BD241" s="647"/>
      <c r="BE241" s="647"/>
      <c r="BF241" s="647"/>
      <c r="BG241" s="647"/>
      <c r="BH241" s="647"/>
      <c r="BI241" s="647"/>
      <c r="BJ241" s="647"/>
      <c r="BK241" s="647"/>
      <c r="BL241" s="647"/>
      <c r="BM241" s="647"/>
      <c r="BN241" s="647"/>
      <c r="BO241" s="647"/>
      <c r="BP241" s="647"/>
      <c r="BQ241" s="647"/>
      <c r="BR241" s="647"/>
      <c r="BS241" s="647"/>
      <c r="BT241" s="647"/>
      <c r="BU241" s="647"/>
      <c r="BV241" s="647"/>
      <c r="BW241" s="647"/>
      <c r="BX241" s="647"/>
      <c r="BY241" s="647"/>
      <c r="BZ241" s="647"/>
      <c r="CA241" s="647"/>
      <c r="CB241" s="647"/>
      <c r="CC241" s="647"/>
      <c r="CD241" s="647"/>
      <c r="CE241" s="647"/>
      <c r="CF241" s="647"/>
      <c r="CG241" s="647"/>
      <c r="CH241" s="647"/>
      <c r="CI241" s="647"/>
      <c r="CJ241" s="647"/>
      <c r="CK241" s="647"/>
      <c r="CL241" s="647"/>
      <c r="CM241" s="647"/>
      <c r="CN241" s="647"/>
    </row>
    <row r="242" spans="1:92" ht="36">
      <c r="A242" s="647"/>
      <c r="B242" s="663" t="s">
        <v>1015</v>
      </c>
      <c r="C242" s="663" t="s">
        <v>1112</v>
      </c>
      <c r="D242" s="664">
        <v>0</v>
      </c>
      <c r="E242" s="665">
        <v>0</v>
      </c>
      <c r="F242" s="664">
        <v>0</v>
      </c>
      <c r="G242" s="647"/>
      <c r="H242" s="647"/>
      <c r="I242" s="647"/>
      <c r="J242" s="647"/>
      <c r="K242" s="647"/>
      <c r="L242" s="647"/>
      <c r="M242" s="647"/>
      <c r="N242" s="647"/>
      <c r="O242" s="647"/>
      <c r="P242" s="647"/>
      <c r="Q242" s="647"/>
      <c r="R242" s="647"/>
      <c r="S242" s="647"/>
      <c r="T242" s="647"/>
      <c r="U242" s="647"/>
      <c r="V242" s="647"/>
      <c r="W242" s="647"/>
      <c r="X242" s="647"/>
      <c r="Y242" s="647"/>
      <c r="Z242" s="647"/>
      <c r="AA242" s="647"/>
      <c r="AB242" s="647"/>
      <c r="AC242" s="647"/>
      <c r="AD242" s="647"/>
      <c r="AE242" s="647"/>
      <c r="AF242" s="647"/>
      <c r="AG242" s="647"/>
      <c r="AH242" s="647"/>
      <c r="AI242" s="647"/>
      <c r="AJ242" s="647"/>
      <c r="AK242" s="647"/>
      <c r="AL242" s="647"/>
      <c r="AM242" s="647"/>
      <c r="AN242" s="647"/>
      <c r="AO242" s="647"/>
      <c r="AP242" s="647"/>
      <c r="AQ242" s="647"/>
      <c r="AR242" s="647"/>
      <c r="AS242" s="647"/>
      <c r="AT242" s="647"/>
      <c r="AU242" s="647"/>
      <c r="AV242" s="647"/>
      <c r="AW242" s="647"/>
      <c r="AX242" s="647"/>
      <c r="AY242" s="647"/>
      <c r="AZ242" s="647"/>
      <c r="BA242" s="647"/>
      <c r="BB242" s="647"/>
      <c r="BC242" s="647"/>
      <c r="BD242" s="647"/>
      <c r="BE242" s="647"/>
      <c r="BF242" s="647"/>
      <c r="BG242" s="647"/>
      <c r="BH242" s="647"/>
      <c r="BI242" s="647"/>
      <c r="BJ242" s="647"/>
      <c r="BK242" s="647"/>
      <c r="BL242" s="647"/>
      <c r="BM242" s="647"/>
      <c r="BN242" s="647"/>
      <c r="BO242" s="647"/>
      <c r="BP242" s="647"/>
      <c r="BQ242" s="647"/>
      <c r="BR242" s="647"/>
      <c r="BS242" s="647"/>
      <c r="BT242" s="647"/>
      <c r="BU242" s="647"/>
      <c r="BV242" s="647"/>
      <c r="BW242" s="647"/>
      <c r="BX242" s="647"/>
      <c r="BY242" s="647"/>
      <c r="BZ242" s="647"/>
      <c r="CA242" s="647"/>
      <c r="CB242" s="647"/>
      <c r="CC242" s="647"/>
      <c r="CD242" s="647"/>
      <c r="CE242" s="647"/>
      <c r="CF242" s="647"/>
      <c r="CG242" s="647"/>
      <c r="CH242" s="647"/>
      <c r="CI242" s="647"/>
      <c r="CJ242" s="647"/>
      <c r="CK242" s="647"/>
      <c r="CL242" s="647"/>
      <c r="CM242" s="647"/>
      <c r="CN242" s="647"/>
    </row>
    <row r="243" spans="1:92" ht="36">
      <c r="A243" s="647"/>
      <c r="B243" s="663" t="s">
        <v>1113</v>
      </c>
      <c r="C243" s="663" t="s">
        <v>1114</v>
      </c>
      <c r="D243" s="664">
        <v>0</v>
      </c>
      <c r="E243" s="665">
        <v>0</v>
      </c>
      <c r="F243" s="664">
        <v>0</v>
      </c>
      <c r="G243" s="647"/>
      <c r="H243" s="647"/>
      <c r="I243" s="647"/>
      <c r="J243" s="647"/>
      <c r="K243" s="647"/>
      <c r="L243" s="647"/>
      <c r="M243" s="647"/>
      <c r="N243" s="647"/>
      <c r="O243" s="647"/>
      <c r="P243" s="647"/>
      <c r="Q243" s="647"/>
      <c r="R243" s="647"/>
      <c r="S243" s="647"/>
      <c r="T243" s="647"/>
      <c r="U243" s="647"/>
      <c r="V243" s="647"/>
      <c r="W243" s="647"/>
      <c r="X243" s="647"/>
      <c r="Y243" s="647"/>
      <c r="Z243" s="647"/>
      <c r="AA243" s="647"/>
      <c r="AB243" s="647"/>
      <c r="AC243" s="647"/>
      <c r="AD243" s="647"/>
      <c r="AE243" s="647"/>
      <c r="AF243" s="647"/>
      <c r="AG243" s="647"/>
      <c r="AH243" s="647"/>
      <c r="AI243" s="647"/>
      <c r="AJ243" s="647"/>
      <c r="AK243" s="647"/>
      <c r="AL243" s="647"/>
      <c r="AM243" s="647"/>
      <c r="AN243" s="647"/>
      <c r="AO243" s="647"/>
      <c r="AP243" s="647"/>
      <c r="AQ243" s="647"/>
      <c r="AR243" s="647"/>
      <c r="AS243" s="647"/>
      <c r="AT243" s="647"/>
      <c r="AU243" s="647"/>
      <c r="AV243" s="647"/>
      <c r="AW243" s="647"/>
      <c r="AX243" s="647"/>
      <c r="AY243" s="647"/>
      <c r="AZ243" s="647"/>
      <c r="BA243" s="647"/>
      <c r="BB243" s="647"/>
      <c r="BC243" s="647"/>
      <c r="BD243" s="647"/>
      <c r="BE243" s="647"/>
      <c r="BF243" s="647"/>
      <c r="BG243" s="647"/>
      <c r="BH243" s="647"/>
      <c r="BI243" s="647"/>
      <c r="BJ243" s="647"/>
      <c r="BK243" s="647"/>
      <c r="BL243" s="647"/>
      <c r="BM243" s="647"/>
      <c r="BN243" s="647"/>
      <c r="BO243" s="647"/>
      <c r="BP243" s="647"/>
      <c r="BQ243" s="647"/>
      <c r="BR243" s="647"/>
      <c r="BS243" s="647"/>
      <c r="BT243" s="647"/>
      <c r="BU243" s="647"/>
      <c r="BV243" s="647"/>
      <c r="BW243" s="647"/>
      <c r="BX243" s="647"/>
      <c r="BY243" s="647"/>
      <c r="BZ243" s="647"/>
      <c r="CA243" s="647"/>
      <c r="CB243" s="647"/>
      <c r="CC243" s="647"/>
      <c r="CD243" s="647"/>
      <c r="CE243" s="647"/>
      <c r="CF243" s="647"/>
      <c r="CG243" s="647"/>
      <c r="CH243" s="647"/>
      <c r="CI243" s="647"/>
      <c r="CJ243" s="647"/>
      <c r="CK243" s="647"/>
      <c r="CL243" s="647"/>
      <c r="CM243" s="647"/>
      <c r="CN243" s="647"/>
    </row>
    <row r="244" spans="1:92">
      <c r="A244" s="647"/>
      <c r="B244" s="663" t="s">
        <v>1006</v>
      </c>
      <c r="C244" s="663" t="s">
        <v>2</v>
      </c>
      <c r="D244" s="664">
        <v>0</v>
      </c>
      <c r="E244" s="665">
        <v>0</v>
      </c>
      <c r="F244" s="664">
        <v>0</v>
      </c>
      <c r="G244" s="647"/>
      <c r="H244" s="647"/>
      <c r="I244" s="647"/>
      <c r="J244" s="647"/>
      <c r="K244" s="647"/>
      <c r="L244" s="647"/>
      <c r="M244" s="647"/>
      <c r="N244" s="647"/>
      <c r="O244" s="647"/>
      <c r="P244" s="647"/>
      <c r="Q244" s="647"/>
      <c r="R244" s="647"/>
      <c r="S244" s="647"/>
      <c r="T244" s="647"/>
      <c r="U244" s="647"/>
      <c r="V244" s="647"/>
      <c r="W244" s="647"/>
      <c r="X244" s="647"/>
      <c r="Y244" s="647"/>
      <c r="Z244" s="647"/>
      <c r="AA244" s="647"/>
      <c r="AB244" s="647"/>
      <c r="AC244" s="647"/>
      <c r="AD244" s="647"/>
      <c r="AE244" s="647"/>
      <c r="AF244" s="647"/>
      <c r="AG244" s="647"/>
      <c r="AH244" s="647"/>
      <c r="AI244" s="647"/>
      <c r="AJ244" s="647"/>
      <c r="AK244" s="647"/>
      <c r="AL244" s="647"/>
      <c r="AM244" s="647"/>
      <c r="AN244" s="647"/>
      <c r="AO244" s="647"/>
      <c r="AP244" s="647"/>
      <c r="AQ244" s="647"/>
      <c r="AR244" s="647"/>
      <c r="AS244" s="647"/>
      <c r="AT244" s="647"/>
      <c r="AU244" s="647"/>
      <c r="AV244" s="647"/>
      <c r="AW244" s="647"/>
      <c r="AX244" s="647"/>
      <c r="AY244" s="647"/>
      <c r="AZ244" s="647"/>
      <c r="BA244" s="647"/>
      <c r="BB244" s="647"/>
      <c r="BC244" s="647"/>
      <c r="BD244" s="647"/>
      <c r="BE244" s="647"/>
      <c r="BF244" s="647"/>
      <c r="BG244" s="647"/>
      <c r="BH244" s="647"/>
      <c r="BI244" s="647"/>
      <c r="BJ244" s="647"/>
      <c r="BK244" s="647"/>
      <c r="BL244" s="647"/>
      <c r="BM244" s="647"/>
      <c r="BN244" s="647"/>
      <c r="BO244" s="647"/>
      <c r="BP244" s="647"/>
      <c r="BQ244" s="647"/>
      <c r="BR244" s="647"/>
      <c r="BS244" s="647"/>
      <c r="BT244" s="647"/>
      <c r="BU244" s="647"/>
      <c r="BV244" s="647"/>
      <c r="BW244" s="647"/>
      <c r="BX244" s="647"/>
      <c r="BY244" s="647"/>
      <c r="BZ244" s="647"/>
      <c r="CA244" s="647"/>
      <c r="CB244" s="647"/>
      <c r="CC244" s="647"/>
      <c r="CD244" s="647"/>
      <c r="CE244" s="647"/>
      <c r="CF244" s="647"/>
      <c r="CG244" s="647"/>
      <c r="CH244" s="647"/>
      <c r="CI244" s="647"/>
      <c r="CJ244" s="647"/>
      <c r="CK244" s="647"/>
      <c r="CL244" s="647"/>
      <c r="CM244" s="647"/>
      <c r="CN244" s="647"/>
    </row>
    <row r="245" spans="1:92">
      <c r="A245" s="647" t="s">
        <v>1007</v>
      </c>
      <c r="B245" s="647" t="s">
        <v>1007</v>
      </c>
      <c r="C245" s="647" t="s">
        <v>1007</v>
      </c>
      <c r="D245" s="647" t="s">
        <v>1007</v>
      </c>
      <c r="F245" s="647"/>
      <c r="G245" s="647"/>
      <c r="H245" s="647"/>
      <c r="I245" s="647"/>
      <c r="J245" s="647"/>
      <c r="K245" s="647"/>
      <c r="L245" s="647"/>
      <c r="M245" s="647"/>
      <c r="N245" s="647"/>
      <c r="O245" s="647"/>
      <c r="P245" s="647"/>
      <c r="Q245" s="647"/>
      <c r="R245" s="647"/>
      <c r="S245" s="647"/>
      <c r="T245" s="647"/>
      <c r="U245" s="647"/>
      <c r="V245" s="647"/>
      <c r="W245" s="647"/>
      <c r="X245" s="647"/>
      <c r="Y245" s="647"/>
      <c r="Z245" s="647"/>
      <c r="AA245" s="647"/>
      <c r="AB245" s="647"/>
      <c r="AC245" s="647"/>
      <c r="AD245" s="647"/>
      <c r="AE245" s="647"/>
      <c r="AF245" s="647"/>
      <c r="AG245" s="647"/>
      <c r="AH245" s="647"/>
      <c r="AI245" s="647"/>
      <c r="AJ245" s="647"/>
      <c r="AK245" s="647"/>
      <c r="AL245" s="647"/>
      <c r="AM245" s="647"/>
      <c r="AN245" s="729"/>
      <c r="AO245" s="729"/>
      <c r="AP245" s="729"/>
      <c r="AQ245" s="729"/>
      <c r="AR245" s="729"/>
      <c r="AS245" s="729"/>
      <c r="AT245" s="729"/>
      <c r="AU245" s="729"/>
      <c r="AV245" s="729"/>
      <c r="AW245" s="729"/>
      <c r="AX245" s="729"/>
      <c r="AY245" s="729"/>
      <c r="AZ245" s="729"/>
      <c r="BA245" s="729"/>
      <c r="BB245" s="729"/>
      <c r="BC245" s="729"/>
      <c r="BD245" s="729"/>
      <c r="BE245" s="729"/>
      <c r="BF245" s="729"/>
      <c r="BG245" s="729"/>
      <c r="BH245" s="729"/>
      <c r="BI245" s="729"/>
      <c r="BJ245" s="729"/>
      <c r="BK245" s="729"/>
      <c r="BL245" s="729"/>
      <c r="BM245" s="729"/>
      <c r="BN245" s="729"/>
      <c r="BO245" s="729"/>
      <c r="BP245" s="729"/>
      <c r="BQ245" s="729"/>
      <c r="BR245" s="729"/>
      <c r="BS245" s="729"/>
      <c r="BT245" s="729"/>
      <c r="BU245" s="729"/>
      <c r="BV245" s="729"/>
      <c r="BW245" s="729"/>
      <c r="BX245" s="729"/>
      <c r="BY245" s="729"/>
      <c r="BZ245" s="729"/>
      <c r="CA245" s="729"/>
      <c r="CB245" s="729"/>
      <c r="CC245" s="729"/>
      <c r="CD245" s="729"/>
      <c r="CE245" s="729"/>
      <c r="CF245" s="729"/>
      <c r="CG245" s="729"/>
      <c r="CH245" s="729"/>
      <c r="CI245" s="729"/>
      <c r="CJ245" s="729"/>
      <c r="CK245" s="729"/>
      <c r="CL245" s="729"/>
      <c r="CM245" s="729"/>
      <c r="CN245" s="729"/>
    </row>
    <row r="246" spans="1:92">
      <c r="A246" s="646" t="s">
        <v>1001</v>
      </c>
      <c r="B246" s="647"/>
      <c r="C246" s="647"/>
      <c r="D246" s="647"/>
      <c r="F246" s="647"/>
      <c r="G246" s="647"/>
      <c r="H246" s="647"/>
      <c r="I246" s="647"/>
      <c r="J246" s="647"/>
      <c r="K246" s="647"/>
      <c r="L246" s="647"/>
      <c r="M246" s="647"/>
      <c r="N246" s="647"/>
      <c r="O246" s="647"/>
      <c r="P246" s="647"/>
      <c r="Q246" s="647"/>
      <c r="R246" s="647"/>
      <c r="S246" s="647"/>
      <c r="T246" s="647"/>
      <c r="U246" s="647"/>
      <c r="V246" s="647"/>
      <c r="W246" s="647"/>
      <c r="X246" s="647"/>
      <c r="Y246" s="647"/>
      <c r="Z246" s="647"/>
      <c r="AA246" s="647"/>
      <c r="AB246" s="647"/>
      <c r="AC246" s="647"/>
      <c r="AD246" s="647"/>
      <c r="AE246" s="647"/>
      <c r="AF246" s="647"/>
      <c r="AG246" s="647"/>
      <c r="AH246" s="647"/>
      <c r="AI246" s="647"/>
      <c r="AJ246" s="647"/>
      <c r="AK246" s="647"/>
      <c r="AL246" s="647"/>
      <c r="AM246" s="647"/>
      <c r="AN246" s="647"/>
      <c r="AO246" s="647"/>
      <c r="AP246" s="647"/>
      <c r="AQ246" s="647"/>
      <c r="AR246" s="647"/>
      <c r="AS246" s="647"/>
      <c r="AT246" s="647"/>
      <c r="AU246" s="647"/>
      <c r="AV246" s="647"/>
      <c r="AW246" s="647"/>
      <c r="AX246" s="647"/>
      <c r="AY246" s="647"/>
      <c r="AZ246" s="647"/>
      <c r="BA246" s="647"/>
      <c r="BB246" s="647"/>
      <c r="BC246" s="647"/>
      <c r="BD246" s="647"/>
      <c r="BE246" s="647"/>
      <c r="BF246" s="647"/>
      <c r="BG246" s="647"/>
      <c r="BH246" s="647"/>
      <c r="BI246" s="647"/>
      <c r="BJ246" s="647"/>
      <c r="BK246" s="647"/>
      <c r="BL246" s="647"/>
      <c r="BM246" s="647"/>
      <c r="BN246" s="647"/>
      <c r="BO246" s="647"/>
      <c r="BP246" s="647"/>
      <c r="BQ246" s="647"/>
      <c r="BR246" s="647"/>
      <c r="BS246" s="647"/>
      <c r="BT246" s="647"/>
      <c r="BU246" s="647"/>
      <c r="BV246" s="647"/>
      <c r="BW246" s="647"/>
      <c r="BX246" s="647"/>
      <c r="BY246" s="647"/>
      <c r="BZ246" s="647"/>
      <c r="CA246" s="647"/>
      <c r="CB246" s="647"/>
      <c r="CC246" s="647"/>
      <c r="CD246" s="647"/>
      <c r="CE246" s="647"/>
      <c r="CF246" s="647"/>
      <c r="CG246" s="647"/>
      <c r="CH246" s="647"/>
      <c r="CI246" s="647"/>
      <c r="CJ246" s="647"/>
      <c r="CK246" s="647"/>
      <c r="CL246" s="647"/>
      <c r="CM246" s="647"/>
      <c r="CN246" s="647"/>
    </row>
    <row r="247" spans="1:92">
      <c r="A247" s="647"/>
      <c r="B247" s="646" t="s">
        <v>1115</v>
      </c>
      <c r="C247" s="647"/>
      <c r="D247" s="647"/>
      <c r="F247" s="647"/>
      <c r="G247" s="647"/>
      <c r="H247" s="647"/>
      <c r="I247" s="647"/>
      <c r="J247" s="647"/>
      <c r="K247" s="647"/>
      <c r="L247" s="647"/>
      <c r="M247" s="647"/>
      <c r="N247" s="647"/>
      <c r="O247" s="647"/>
      <c r="P247" s="647"/>
      <c r="Q247" s="647"/>
      <c r="R247" s="647"/>
      <c r="S247" s="647"/>
      <c r="T247" s="647"/>
      <c r="U247" s="647"/>
      <c r="V247" s="647"/>
      <c r="W247" s="647"/>
      <c r="X247" s="647"/>
      <c r="Y247" s="647"/>
      <c r="Z247" s="647"/>
      <c r="AA247" s="647"/>
      <c r="AB247" s="647"/>
      <c r="AC247" s="647"/>
      <c r="AD247" s="647"/>
      <c r="AE247" s="647"/>
      <c r="AF247" s="647"/>
      <c r="AG247" s="647"/>
      <c r="AH247" s="647"/>
      <c r="AI247" s="647"/>
      <c r="AJ247" s="647"/>
      <c r="AK247" s="647"/>
      <c r="AL247" s="647"/>
      <c r="AM247" s="647"/>
      <c r="AN247" s="647"/>
      <c r="AO247" s="647"/>
      <c r="AP247" s="647"/>
      <c r="AQ247" s="647"/>
      <c r="AR247" s="647"/>
      <c r="AS247" s="647"/>
      <c r="AT247" s="647"/>
      <c r="AU247" s="647"/>
      <c r="AV247" s="647"/>
      <c r="AW247" s="647"/>
      <c r="AX247" s="647"/>
      <c r="AY247" s="647"/>
      <c r="AZ247" s="647"/>
      <c r="BA247" s="647"/>
      <c r="BB247" s="647"/>
      <c r="BC247" s="647"/>
      <c r="BD247" s="647"/>
      <c r="BE247" s="647"/>
      <c r="BF247" s="647"/>
      <c r="BG247" s="647"/>
      <c r="BH247" s="647"/>
      <c r="BI247" s="647"/>
      <c r="BJ247" s="647"/>
      <c r="BK247" s="647"/>
      <c r="BL247" s="647"/>
      <c r="BM247" s="647"/>
      <c r="BN247" s="647"/>
      <c r="BO247" s="647"/>
      <c r="BP247" s="647"/>
      <c r="BQ247" s="647"/>
      <c r="BR247" s="647"/>
      <c r="BS247" s="647"/>
      <c r="BT247" s="647"/>
      <c r="BU247" s="647"/>
      <c r="BV247" s="647"/>
      <c r="BW247" s="647"/>
      <c r="BX247" s="647"/>
      <c r="BY247" s="647"/>
      <c r="BZ247" s="647"/>
      <c r="CA247" s="647"/>
      <c r="CB247" s="647"/>
      <c r="CC247" s="647"/>
      <c r="CD247" s="647"/>
      <c r="CE247" s="647"/>
      <c r="CF247" s="647"/>
      <c r="CG247" s="647"/>
      <c r="CH247" s="647"/>
      <c r="CI247" s="647"/>
      <c r="CJ247" s="647"/>
      <c r="CK247" s="647"/>
      <c r="CL247" s="647"/>
      <c r="CM247" s="647"/>
      <c r="CN247" s="647"/>
    </row>
    <row r="248" spans="1:92">
      <c r="A248" s="647"/>
      <c r="B248" s="647"/>
      <c r="C248" s="647"/>
      <c r="D248" s="647"/>
      <c r="F248" s="647"/>
      <c r="G248" s="660"/>
      <c r="H248" s="647"/>
      <c r="I248" s="647"/>
      <c r="J248" s="647"/>
      <c r="K248" s="647"/>
      <c r="L248" s="647"/>
      <c r="M248" s="647"/>
      <c r="N248" s="647"/>
      <c r="O248" s="647"/>
      <c r="P248" s="647"/>
      <c r="Q248" s="647"/>
      <c r="R248" s="647"/>
      <c r="S248" s="647"/>
      <c r="T248" s="647"/>
      <c r="U248" s="647"/>
      <c r="V248" s="647"/>
      <c r="W248" s="647"/>
      <c r="X248" s="647"/>
      <c r="Y248" s="647"/>
      <c r="Z248" s="647"/>
      <c r="AA248" s="647"/>
      <c r="AB248" s="647"/>
      <c r="AC248" s="647"/>
      <c r="AD248" s="647"/>
      <c r="AE248" s="647"/>
      <c r="AF248" s="647"/>
      <c r="AG248" s="647"/>
      <c r="AH248" s="647"/>
      <c r="AI248" s="647"/>
      <c r="AJ248" s="647"/>
      <c r="AK248" s="647"/>
      <c r="AL248" s="647"/>
      <c r="AM248" s="647"/>
      <c r="AN248" s="647"/>
      <c r="AO248" s="647"/>
      <c r="AP248" s="647"/>
      <c r="AQ248" s="647"/>
      <c r="AR248" s="647"/>
      <c r="AS248" s="647"/>
      <c r="AT248" s="647"/>
      <c r="AU248" s="647"/>
      <c r="AV248" s="647"/>
      <c r="AW248" s="647"/>
      <c r="AX248" s="647"/>
      <c r="AY248" s="647"/>
      <c r="AZ248" s="647"/>
      <c r="BA248" s="647"/>
      <c r="BB248" s="647"/>
      <c r="BC248" s="647"/>
      <c r="BD248" s="647"/>
      <c r="BE248" s="647"/>
      <c r="BF248" s="647"/>
      <c r="BG248" s="647"/>
      <c r="BH248" s="647"/>
      <c r="BI248" s="647"/>
      <c r="BJ248" s="647"/>
      <c r="BK248" s="647"/>
      <c r="BL248" s="647"/>
      <c r="BM248" s="647"/>
      <c r="BN248" s="647"/>
      <c r="BO248" s="647"/>
      <c r="BP248" s="647"/>
      <c r="BQ248" s="647"/>
      <c r="BR248" s="647"/>
      <c r="BS248" s="647"/>
      <c r="BT248" s="647"/>
      <c r="BU248" s="647"/>
      <c r="BV248" s="647"/>
      <c r="BW248" s="647"/>
      <c r="BX248" s="647"/>
      <c r="BY248" s="647"/>
      <c r="BZ248" s="647"/>
      <c r="CA248" s="647"/>
      <c r="CB248" s="647"/>
      <c r="CC248" s="647"/>
      <c r="CD248" s="647"/>
      <c r="CE248" s="647"/>
      <c r="CF248" s="647"/>
      <c r="CG248" s="647"/>
      <c r="CH248" s="647"/>
      <c r="CI248" s="647"/>
      <c r="CJ248" s="647"/>
      <c r="CK248" s="647"/>
      <c r="CL248" s="647"/>
      <c r="CM248" s="647"/>
      <c r="CN248" s="647"/>
    </row>
    <row r="249" spans="1:92" ht="24">
      <c r="A249" s="647"/>
      <c r="B249" s="661" t="s">
        <v>99</v>
      </c>
      <c r="C249" s="661" t="s">
        <v>65</v>
      </c>
      <c r="D249" s="661" t="s">
        <v>2</v>
      </c>
      <c r="E249" s="662" t="s">
        <v>1011</v>
      </c>
      <c r="F249" s="661" t="s">
        <v>1012</v>
      </c>
      <c r="G249" s="661" t="s">
        <v>2</v>
      </c>
      <c r="H249" s="647"/>
      <c r="I249" s="647"/>
      <c r="J249" s="647"/>
      <c r="K249" s="647"/>
      <c r="L249" s="647"/>
      <c r="M249" s="647"/>
      <c r="N249" s="647"/>
      <c r="O249" s="647"/>
      <c r="P249" s="647"/>
      <c r="Q249" s="647"/>
      <c r="R249" s="647"/>
      <c r="S249" s="647"/>
      <c r="T249" s="647"/>
      <c r="U249" s="647"/>
      <c r="V249" s="647"/>
      <c r="W249" s="647"/>
      <c r="X249" s="647"/>
      <c r="Y249" s="647"/>
      <c r="Z249" s="647"/>
      <c r="AA249" s="647"/>
      <c r="AB249" s="647"/>
      <c r="AC249" s="647"/>
      <c r="AD249" s="647"/>
      <c r="AE249" s="647"/>
      <c r="AF249" s="647"/>
      <c r="AG249" s="647"/>
      <c r="AH249" s="647"/>
      <c r="AI249" s="647"/>
      <c r="AJ249" s="647"/>
      <c r="AK249" s="647"/>
      <c r="AL249" s="647"/>
      <c r="AM249" s="647"/>
      <c r="AN249" s="647"/>
      <c r="AO249" s="647"/>
      <c r="AP249" s="647"/>
      <c r="AQ249" s="647"/>
      <c r="AR249" s="647"/>
      <c r="AS249" s="647"/>
      <c r="AT249" s="647"/>
      <c r="AU249" s="647"/>
      <c r="AV249" s="647"/>
      <c r="AW249" s="647"/>
      <c r="AX249" s="647"/>
      <c r="AY249" s="647"/>
      <c r="AZ249" s="647"/>
      <c r="BA249" s="647"/>
      <c r="BB249" s="647"/>
      <c r="BC249" s="647"/>
      <c r="BD249" s="647"/>
      <c r="BE249" s="647"/>
      <c r="BF249" s="647"/>
      <c r="BG249" s="647"/>
      <c r="BH249" s="647"/>
      <c r="BI249" s="647"/>
      <c r="BJ249" s="647"/>
      <c r="BK249" s="647"/>
      <c r="BL249" s="647"/>
      <c r="BM249" s="647"/>
      <c r="BN249" s="647"/>
      <c r="BO249" s="647"/>
      <c r="BP249" s="647"/>
      <c r="BQ249" s="647"/>
      <c r="BR249" s="647"/>
      <c r="BS249" s="647"/>
      <c r="BT249" s="647"/>
      <c r="BU249" s="647"/>
      <c r="BV249" s="647"/>
      <c r="BW249" s="647"/>
      <c r="BX249" s="647"/>
      <c r="BY249" s="647"/>
      <c r="BZ249" s="647"/>
      <c r="CA249" s="647"/>
      <c r="CB249" s="647"/>
      <c r="CC249" s="647"/>
      <c r="CD249" s="647"/>
      <c r="CE249" s="647"/>
      <c r="CF249" s="647"/>
      <c r="CG249" s="647"/>
      <c r="CH249" s="647"/>
      <c r="CI249" s="647"/>
      <c r="CJ249" s="647"/>
      <c r="CK249" s="647"/>
      <c r="CL249" s="647"/>
      <c r="CM249" s="647"/>
      <c r="CN249" s="647"/>
    </row>
    <row r="250" spans="1:92" ht="48">
      <c r="A250" s="647"/>
      <c r="B250" s="663" t="s">
        <v>1003</v>
      </c>
      <c r="C250" s="663" t="s">
        <v>1116</v>
      </c>
      <c r="D250" s="664">
        <v>0</v>
      </c>
      <c r="E250" s="665">
        <v>0</v>
      </c>
      <c r="F250" s="664">
        <v>0</v>
      </c>
      <c r="G250" s="664">
        <v>0</v>
      </c>
      <c r="H250" s="647"/>
      <c r="I250" s="647"/>
      <c r="J250" s="647"/>
      <c r="K250" s="647"/>
      <c r="L250" s="647"/>
      <c r="M250" s="647"/>
      <c r="N250" s="647"/>
      <c r="O250" s="647"/>
      <c r="P250" s="647"/>
      <c r="Q250" s="647"/>
      <c r="R250" s="647"/>
      <c r="S250" s="647"/>
      <c r="T250" s="647"/>
      <c r="U250" s="647"/>
      <c r="V250" s="647"/>
      <c r="W250" s="647"/>
      <c r="X250" s="647"/>
      <c r="Y250" s="647"/>
      <c r="Z250" s="647"/>
      <c r="AA250" s="647"/>
      <c r="AB250" s="647"/>
      <c r="AC250" s="647"/>
      <c r="AD250" s="647"/>
      <c r="AE250" s="647"/>
      <c r="AF250" s="647"/>
      <c r="AG250" s="647"/>
      <c r="AH250" s="647"/>
      <c r="AI250" s="647"/>
      <c r="AJ250" s="647"/>
      <c r="AK250" s="647"/>
      <c r="AL250" s="647"/>
      <c r="AM250" s="647"/>
      <c r="AN250" s="647"/>
      <c r="AO250" s="647"/>
      <c r="AP250" s="647"/>
      <c r="AQ250" s="647"/>
      <c r="AR250" s="647"/>
      <c r="AS250" s="647"/>
      <c r="AT250" s="647"/>
      <c r="AU250" s="647"/>
      <c r="AV250" s="647"/>
      <c r="AW250" s="647"/>
      <c r="AX250" s="647"/>
      <c r="AY250" s="647"/>
      <c r="AZ250" s="647"/>
      <c r="BA250" s="647"/>
      <c r="BB250" s="647"/>
      <c r="BC250" s="647"/>
      <c r="BD250" s="647"/>
      <c r="BE250" s="647"/>
      <c r="BF250" s="647"/>
      <c r="BG250" s="647"/>
      <c r="BH250" s="647"/>
      <c r="BI250" s="647"/>
      <c r="BJ250" s="647"/>
      <c r="BK250" s="647"/>
      <c r="BL250" s="647"/>
      <c r="BM250" s="647"/>
      <c r="BN250" s="647"/>
      <c r="BO250" s="647"/>
      <c r="BP250" s="647"/>
      <c r="BQ250" s="647"/>
      <c r="BR250" s="647"/>
      <c r="BS250" s="647"/>
      <c r="BT250" s="647"/>
      <c r="BU250" s="647"/>
      <c r="BV250" s="647"/>
      <c r="BW250" s="647"/>
      <c r="BX250" s="647"/>
      <c r="BY250" s="647"/>
      <c r="BZ250" s="647"/>
      <c r="CA250" s="647"/>
      <c r="CB250" s="647"/>
      <c r="CC250" s="647"/>
      <c r="CD250" s="647"/>
      <c r="CE250" s="647"/>
      <c r="CF250" s="647"/>
      <c r="CG250" s="647"/>
      <c r="CH250" s="647"/>
      <c r="CI250" s="647"/>
      <c r="CJ250" s="647"/>
      <c r="CK250" s="647"/>
      <c r="CL250" s="647"/>
      <c r="CM250" s="647"/>
      <c r="CN250" s="647"/>
    </row>
    <row r="251" spans="1:92" ht="48">
      <c r="A251" s="647"/>
      <c r="B251" s="663" t="s">
        <v>1004</v>
      </c>
      <c r="C251" s="663" t="s">
        <v>1117</v>
      </c>
      <c r="D251" s="664">
        <v>0</v>
      </c>
      <c r="E251" s="665">
        <v>0</v>
      </c>
      <c r="F251" s="664">
        <v>0</v>
      </c>
      <c r="G251" s="664">
        <v>0</v>
      </c>
      <c r="H251" s="647"/>
      <c r="I251" s="647"/>
      <c r="J251" s="647"/>
      <c r="K251" s="647"/>
      <c r="L251" s="647"/>
      <c r="M251" s="647"/>
      <c r="N251" s="647"/>
      <c r="O251" s="647"/>
      <c r="P251" s="647"/>
      <c r="Q251" s="647"/>
      <c r="R251" s="647"/>
      <c r="S251" s="647"/>
      <c r="T251" s="647"/>
      <c r="U251" s="647"/>
      <c r="V251" s="647"/>
      <c r="W251" s="647"/>
      <c r="X251" s="647"/>
      <c r="Y251" s="647"/>
      <c r="Z251" s="647"/>
      <c r="AA251" s="647"/>
      <c r="AB251" s="647"/>
      <c r="AC251" s="647"/>
      <c r="AD251" s="647"/>
      <c r="AE251" s="647"/>
      <c r="AF251" s="647"/>
      <c r="AG251" s="647"/>
      <c r="AH251" s="647"/>
      <c r="AI251" s="647"/>
      <c r="AJ251" s="647"/>
      <c r="AK251" s="647"/>
      <c r="AL251" s="647"/>
      <c r="AM251" s="647"/>
      <c r="AN251" s="647"/>
      <c r="AO251" s="647"/>
      <c r="AP251" s="647"/>
      <c r="AQ251" s="647"/>
      <c r="AR251" s="647"/>
      <c r="AS251" s="647"/>
      <c r="AT251" s="647"/>
      <c r="AU251" s="647"/>
      <c r="AV251" s="647"/>
      <c r="AW251" s="647"/>
      <c r="AX251" s="647"/>
      <c r="AY251" s="647"/>
      <c r="AZ251" s="647"/>
      <c r="BA251" s="647"/>
      <c r="BB251" s="647"/>
      <c r="BC251" s="647"/>
      <c r="BD251" s="647"/>
      <c r="BE251" s="647"/>
      <c r="BF251" s="647"/>
      <c r="BG251" s="647"/>
      <c r="BH251" s="647"/>
      <c r="BI251" s="647"/>
      <c r="BJ251" s="647"/>
      <c r="BK251" s="647"/>
      <c r="BL251" s="647"/>
      <c r="BM251" s="647"/>
      <c r="BN251" s="647"/>
      <c r="BO251" s="647"/>
      <c r="BP251" s="647"/>
      <c r="BQ251" s="647"/>
      <c r="BR251" s="647"/>
      <c r="BS251" s="647"/>
      <c r="BT251" s="647"/>
      <c r="BU251" s="647"/>
      <c r="BV251" s="647"/>
      <c r="BW251" s="647"/>
      <c r="BX251" s="647"/>
      <c r="BY251" s="647"/>
      <c r="BZ251" s="647"/>
      <c r="CA251" s="647"/>
      <c r="CB251" s="647"/>
      <c r="CC251" s="647"/>
      <c r="CD251" s="647"/>
      <c r="CE251" s="647"/>
      <c r="CF251" s="647"/>
      <c r="CG251" s="647"/>
      <c r="CH251" s="647"/>
      <c r="CI251" s="647"/>
      <c r="CJ251" s="647"/>
      <c r="CK251" s="647"/>
      <c r="CL251" s="647"/>
      <c r="CM251" s="647"/>
      <c r="CN251" s="647"/>
    </row>
    <row r="252" spans="1:92">
      <c r="A252" s="647"/>
      <c r="B252" s="663" t="s">
        <v>1004</v>
      </c>
      <c r="C252" s="663" t="s">
        <v>212</v>
      </c>
      <c r="D252" s="664">
        <v>0</v>
      </c>
      <c r="E252" s="665">
        <v>0</v>
      </c>
      <c r="F252" s="664">
        <v>0</v>
      </c>
      <c r="G252" s="664">
        <v>0</v>
      </c>
      <c r="H252" s="647"/>
      <c r="I252" s="647"/>
      <c r="J252" s="647"/>
      <c r="K252" s="647"/>
      <c r="L252" s="647"/>
      <c r="M252" s="647"/>
      <c r="N252" s="647"/>
      <c r="O252" s="647"/>
      <c r="P252" s="647"/>
      <c r="Q252" s="647"/>
      <c r="R252" s="647"/>
      <c r="S252" s="647"/>
      <c r="T252" s="647"/>
      <c r="U252" s="647"/>
      <c r="V252" s="647"/>
      <c r="W252" s="647"/>
      <c r="X252" s="647"/>
      <c r="Y252" s="647"/>
      <c r="Z252" s="647"/>
      <c r="AA252" s="647"/>
      <c r="AB252" s="647"/>
      <c r="AC252" s="647"/>
      <c r="AD252" s="647"/>
      <c r="AE252" s="647"/>
      <c r="AF252" s="647"/>
      <c r="AG252" s="647"/>
      <c r="AH252" s="647"/>
      <c r="AI252" s="647"/>
      <c r="AJ252" s="647"/>
      <c r="AK252" s="647"/>
      <c r="AL252" s="647"/>
      <c r="AM252" s="647"/>
      <c r="AN252" s="647"/>
      <c r="AO252" s="647"/>
      <c r="AP252" s="647"/>
      <c r="AQ252" s="647"/>
      <c r="AR252" s="647"/>
      <c r="AS252" s="647"/>
      <c r="AT252" s="647"/>
      <c r="AU252" s="647"/>
      <c r="AV252" s="647"/>
      <c r="AW252" s="647"/>
      <c r="AX252" s="647"/>
      <c r="AY252" s="647"/>
      <c r="AZ252" s="647"/>
      <c r="BA252" s="647"/>
      <c r="BB252" s="647"/>
      <c r="BC252" s="647"/>
      <c r="BD252" s="647"/>
      <c r="BE252" s="647"/>
      <c r="BF252" s="647"/>
      <c r="BG252" s="647"/>
      <c r="BH252" s="647"/>
      <c r="BI252" s="647"/>
      <c r="BJ252" s="647"/>
      <c r="BK252" s="647"/>
      <c r="BL252" s="647"/>
      <c r="BM252" s="647"/>
      <c r="BN252" s="647"/>
      <c r="BO252" s="647"/>
      <c r="BP252" s="647"/>
      <c r="BQ252" s="647"/>
      <c r="BR252" s="647"/>
      <c r="BS252" s="647"/>
      <c r="BT252" s="647"/>
      <c r="BU252" s="647"/>
      <c r="BV252" s="647"/>
      <c r="BW252" s="647"/>
      <c r="BX252" s="647"/>
      <c r="BY252" s="647"/>
      <c r="BZ252" s="647"/>
      <c r="CA252" s="647"/>
      <c r="CB252" s="647"/>
      <c r="CC252" s="647"/>
      <c r="CD252" s="647"/>
      <c r="CE252" s="647"/>
      <c r="CF252" s="647"/>
      <c r="CG252" s="647"/>
      <c r="CH252" s="647"/>
      <c r="CI252" s="647"/>
      <c r="CJ252" s="647"/>
      <c r="CK252" s="647"/>
      <c r="CL252" s="647"/>
      <c r="CM252" s="647"/>
      <c r="CN252" s="647"/>
    </row>
    <row r="253" spans="1:92">
      <c r="A253" s="647"/>
      <c r="B253" s="663" t="s">
        <v>1004</v>
      </c>
      <c r="C253" s="666" t="s">
        <v>95</v>
      </c>
      <c r="D253" s="664">
        <v>0</v>
      </c>
      <c r="E253" s="665">
        <v>0</v>
      </c>
      <c r="F253" s="664">
        <v>0</v>
      </c>
      <c r="G253" s="664">
        <v>0</v>
      </c>
      <c r="H253" s="647"/>
      <c r="I253" s="647"/>
      <c r="J253" s="647"/>
      <c r="K253" s="647"/>
      <c r="L253" s="647"/>
      <c r="M253" s="647"/>
      <c r="N253" s="647"/>
      <c r="O253" s="647"/>
      <c r="P253" s="647"/>
      <c r="Q253" s="647"/>
      <c r="R253" s="647"/>
      <c r="S253" s="647"/>
      <c r="T253" s="647"/>
      <c r="U253" s="647"/>
      <c r="V253" s="647"/>
      <c r="W253" s="647"/>
      <c r="X253" s="647"/>
      <c r="Y253" s="647"/>
      <c r="Z253" s="647"/>
      <c r="AA253" s="647"/>
      <c r="AB253" s="647"/>
      <c r="AC253" s="647"/>
      <c r="AD253" s="647"/>
      <c r="AE253" s="647"/>
      <c r="AF253" s="647"/>
      <c r="AG253" s="647"/>
      <c r="AH253" s="647"/>
      <c r="AI253" s="647"/>
      <c r="AJ253" s="647"/>
      <c r="AK253" s="647"/>
      <c r="AL253" s="647"/>
      <c r="AM253" s="647"/>
      <c r="AN253" s="647"/>
      <c r="AO253" s="647"/>
      <c r="AP253" s="647"/>
      <c r="AQ253" s="647"/>
      <c r="AR253" s="647"/>
      <c r="AS253" s="647"/>
      <c r="AT253" s="647"/>
      <c r="AU253" s="647"/>
      <c r="AV253" s="647"/>
      <c r="AW253" s="647"/>
      <c r="AX253" s="647"/>
      <c r="AY253" s="647"/>
      <c r="AZ253" s="647"/>
      <c r="BA253" s="647"/>
      <c r="BB253" s="647"/>
      <c r="BC253" s="647"/>
      <c r="BD253" s="647"/>
      <c r="BE253" s="647"/>
      <c r="BF253" s="647"/>
      <c r="BG253" s="647"/>
      <c r="BH253" s="647"/>
      <c r="BI253" s="647"/>
      <c r="BJ253" s="647"/>
      <c r="BK253" s="647"/>
      <c r="BL253" s="647"/>
      <c r="BM253" s="647"/>
      <c r="BN253" s="647"/>
      <c r="BO253" s="647"/>
      <c r="BP253" s="647"/>
      <c r="BQ253" s="647"/>
      <c r="BR253" s="647"/>
      <c r="BS253" s="647"/>
      <c r="BT253" s="647"/>
      <c r="BU253" s="647"/>
      <c r="BV253" s="647"/>
      <c r="BW253" s="647"/>
      <c r="BX253" s="647"/>
      <c r="BY253" s="647"/>
      <c r="BZ253" s="647"/>
      <c r="CA253" s="647"/>
      <c r="CB253" s="647"/>
      <c r="CC253" s="647"/>
      <c r="CD253" s="647"/>
      <c r="CE253" s="647"/>
      <c r="CF253" s="647"/>
      <c r="CG253" s="647"/>
      <c r="CH253" s="647"/>
      <c r="CI253" s="647"/>
      <c r="CJ253" s="647"/>
      <c r="CK253" s="647"/>
      <c r="CL253" s="647"/>
      <c r="CM253" s="647"/>
      <c r="CN253" s="647"/>
    </row>
    <row r="254" spans="1:92">
      <c r="A254" s="647" t="s">
        <v>1007</v>
      </c>
      <c r="B254" s="647" t="s">
        <v>1007</v>
      </c>
      <c r="C254" s="647" t="s">
        <v>1007</v>
      </c>
      <c r="D254" s="647" t="s">
        <v>1007</v>
      </c>
      <c r="F254" s="647"/>
      <c r="G254" s="647"/>
      <c r="H254" s="647"/>
      <c r="I254" s="647"/>
      <c r="J254" s="647"/>
      <c r="K254" s="647"/>
      <c r="L254" s="647"/>
      <c r="M254" s="647"/>
      <c r="N254" s="647"/>
      <c r="O254" s="647"/>
      <c r="P254" s="647"/>
      <c r="Q254" s="647"/>
      <c r="R254" s="647"/>
      <c r="S254" s="647"/>
      <c r="T254" s="647"/>
      <c r="U254" s="647"/>
      <c r="V254" s="647"/>
      <c r="W254" s="647"/>
      <c r="X254" s="647"/>
      <c r="Y254" s="647"/>
      <c r="Z254" s="647"/>
      <c r="AA254" s="647"/>
      <c r="AB254" s="647"/>
      <c r="AC254" s="647"/>
      <c r="AD254" s="647"/>
      <c r="AE254" s="647"/>
      <c r="AF254" s="647"/>
      <c r="AG254" s="647"/>
      <c r="AH254" s="647"/>
      <c r="AI254" s="647"/>
      <c r="AJ254" s="647"/>
      <c r="AK254" s="647"/>
      <c r="AL254" s="647"/>
      <c r="AM254" s="647"/>
      <c r="AN254" s="729"/>
      <c r="AO254" s="729"/>
      <c r="AP254" s="729"/>
      <c r="AQ254" s="729"/>
      <c r="AR254" s="729"/>
      <c r="AS254" s="729"/>
      <c r="AT254" s="729"/>
      <c r="AU254" s="729"/>
      <c r="AV254" s="729"/>
      <c r="AW254" s="729"/>
      <c r="AX254" s="729"/>
      <c r="AY254" s="729"/>
      <c r="AZ254" s="729"/>
      <c r="BA254" s="729"/>
      <c r="BB254" s="729"/>
      <c r="BC254" s="729"/>
      <c r="BD254" s="729"/>
      <c r="BE254" s="729"/>
      <c r="BF254" s="729"/>
      <c r="BG254" s="729"/>
      <c r="BH254" s="729"/>
      <c r="BI254" s="729"/>
      <c r="BJ254" s="729"/>
      <c r="BK254" s="729"/>
      <c r="BL254" s="729"/>
      <c r="BM254" s="729"/>
      <c r="BN254" s="729"/>
      <c r="BO254" s="729"/>
      <c r="BP254" s="729"/>
      <c r="BQ254" s="729"/>
      <c r="BR254" s="729"/>
      <c r="BS254" s="729"/>
      <c r="BT254" s="729"/>
      <c r="BU254" s="729"/>
      <c r="BV254" s="729"/>
      <c r="BW254" s="729"/>
      <c r="BX254" s="729"/>
      <c r="BY254" s="729"/>
      <c r="BZ254" s="729"/>
      <c r="CA254" s="729"/>
      <c r="CB254" s="729"/>
      <c r="CC254" s="729"/>
      <c r="CD254" s="729"/>
      <c r="CE254" s="729"/>
      <c r="CF254" s="729"/>
      <c r="CG254" s="729"/>
      <c r="CH254" s="729"/>
      <c r="CI254" s="729"/>
      <c r="CJ254" s="729"/>
      <c r="CK254" s="729"/>
      <c r="CL254" s="729"/>
      <c r="CM254" s="729"/>
      <c r="CN254" s="729"/>
    </row>
    <row r="255" spans="1:92">
      <c r="A255" s="646" t="s">
        <v>1001</v>
      </c>
      <c r="B255" s="647"/>
      <c r="C255" s="647"/>
      <c r="D255" s="647"/>
      <c r="F255" s="647"/>
      <c r="G255" s="647"/>
      <c r="H255" s="647"/>
      <c r="I255" s="647"/>
      <c r="J255" s="647"/>
      <c r="K255" s="647"/>
      <c r="L255" s="647"/>
      <c r="M255" s="647"/>
      <c r="N255" s="647"/>
      <c r="O255" s="647"/>
      <c r="P255" s="647"/>
      <c r="Q255" s="647"/>
      <c r="R255" s="647"/>
      <c r="S255" s="647"/>
      <c r="T255" s="647"/>
      <c r="U255" s="647"/>
      <c r="V255" s="647"/>
      <c r="W255" s="647"/>
      <c r="X255" s="647"/>
      <c r="Y255" s="647"/>
      <c r="Z255" s="647"/>
      <c r="AA255" s="647"/>
      <c r="AB255" s="647"/>
      <c r="AC255" s="647"/>
      <c r="AD255" s="647"/>
      <c r="AE255" s="647"/>
      <c r="AF255" s="647"/>
      <c r="AG255" s="647"/>
      <c r="AH255" s="647"/>
      <c r="AI255" s="647"/>
      <c r="AJ255" s="647"/>
      <c r="AK255" s="647"/>
      <c r="AL255" s="647"/>
      <c r="AM255" s="647"/>
      <c r="AN255" s="647"/>
      <c r="AO255" s="647"/>
      <c r="AP255" s="647"/>
      <c r="AQ255" s="647"/>
      <c r="AR255" s="647"/>
      <c r="AS255" s="647"/>
      <c r="AT255" s="647"/>
      <c r="AU255" s="647"/>
      <c r="AV255" s="647"/>
      <c r="AW255" s="647"/>
      <c r="AX255" s="647"/>
      <c r="AY255" s="647"/>
      <c r="AZ255" s="647"/>
      <c r="BA255" s="647"/>
      <c r="BB255" s="647"/>
      <c r="BC255" s="647"/>
      <c r="BD255" s="647"/>
      <c r="BE255" s="647"/>
      <c r="BF255" s="647"/>
      <c r="BG255" s="647"/>
      <c r="BH255" s="647"/>
      <c r="BI255" s="647"/>
      <c r="BJ255" s="647"/>
      <c r="BK255" s="647"/>
      <c r="BL255" s="647"/>
      <c r="BM255" s="647"/>
      <c r="BN255" s="647"/>
      <c r="BO255" s="647"/>
      <c r="BP255" s="647"/>
      <c r="BQ255" s="647"/>
      <c r="BR255" s="647"/>
      <c r="BS255" s="647"/>
      <c r="BT255" s="647"/>
      <c r="BU255" s="647"/>
      <c r="BV255" s="647"/>
      <c r="BW255" s="647"/>
      <c r="BX255" s="647"/>
      <c r="BY255" s="647"/>
      <c r="BZ255" s="647"/>
      <c r="CA255" s="647"/>
      <c r="CB255" s="647"/>
      <c r="CC255" s="647"/>
      <c r="CD255" s="647"/>
      <c r="CE255" s="647"/>
      <c r="CF255" s="647"/>
      <c r="CG255" s="647"/>
      <c r="CH255" s="647"/>
      <c r="CI255" s="647"/>
      <c r="CJ255" s="647"/>
      <c r="CK255" s="647"/>
      <c r="CL255" s="647"/>
      <c r="CM255" s="647"/>
      <c r="CN255" s="647"/>
    </row>
    <row r="256" spans="1:92" ht="24">
      <c r="A256" s="647"/>
      <c r="B256" s="661" t="s">
        <v>99</v>
      </c>
      <c r="C256" s="661" t="s">
        <v>65</v>
      </c>
      <c r="D256" s="661" t="s">
        <v>5</v>
      </c>
      <c r="E256" s="662" t="s">
        <v>2</v>
      </c>
      <c r="F256" s="647"/>
      <c r="G256" s="647"/>
      <c r="H256" s="647"/>
      <c r="I256" s="647"/>
      <c r="J256" s="647"/>
      <c r="K256" s="647"/>
      <c r="L256" s="647"/>
      <c r="M256" s="647"/>
      <c r="N256" s="647"/>
      <c r="O256" s="647"/>
      <c r="P256" s="647"/>
      <c r="Q256" s="647"/>
      <c r="R256" s="647"/>
      <c r="S256" s="647"/>
      <c r="T256" s="647"/>
      <c r="U256" s="647"/>
      <c r="V256" s="647"/>
      <c r="W256" s="647"/>
      <c r="X256" s="647"/>
      <c r="Y256" s="647"/>
      <c r="Z256" s="647"/>
      <c r="AA256" s="647"/>
      <c r="AB256" s="647"/>
      <c r="AC256" s="647"/>
      <c r="AD256" s="647"/>
      <c r="AE256" s="647"/>
      <c r="AF256" s="647"/>
      <c r="AG256" s="647"/>
      <c r="AH256" s="647"/>
      <c r="AI256" s="647"/>
      <c r="AJ256" s="647"/>
      <c r="AK256" s="647"/>
      <c r="AL256" s="647"/>
      <c r="AM256" s="647"/>
      <c r="AN256" s="647"/>
      <c r="AO256" s="647"/>
      <c r="AP256" s="647"/>
      <c r="AQ256" s="647"/>
      <c r="AR256" s="647"/>
      <c r="AS256" s="647"/>
      <c r="AT256" s="647"/>
      <c r="AU256" s="647"/>
      <c r="AV256" s="647"/>
      <c r="AW256" s="647"/>
      <c r="AX256" s="647"/>
      <c r="AY256" s="647"/>
      <c r="AZ256" s="647"/>
      <c r="BA256" s="647"/>
      <c r="BB256" s="647"/>
      <c r="BC256" s="647"/>
      <c r="BD256" s="647"/>
      <c r="BE256" s="647"/>
      <c r="BF256" s="647"/>
      <c r="BG256" s="647"/>
      <c r="BH256" s="647"/>
      <c r="BI256" s="647"/>
      <c r="BJ256" s="647"/>
      <c r="BK256" s="647"/>
      <c r="BL256" s="647"/>
      <c r="BM256" s="647"/>
      <c r="BN256" s="647"/>
      <c r="BO256" s="647"/>
      <c r="BP256" s="647"/>
      <c r="BQ256" s="647"/>
      <c r="BR256" s="647"/>
      <c r="BS256" s="647"/>
      <c r="BT256" s="647"/>
      <c r="BU256" s="647"/>
      <c r="BV256" s="647"/>
      <c r="BW256" s="647"/>
      <c r="BX256" s="647"/>
      <c r="BY256" s="647"/>
      <c r="BZ256" s="647"/>
      <c r="CA256" s="647"/>
      <c r="CB256" s="647"/>
      <c r="CC256" s="647"/>
      <c r="CD256" s="647"/>
      <c r="CE256" s="647"/>
      <c r="CF256" s="647"/>
      <c r="CG256" s="647"/>
      <c r="CH256" s="647"/>
      <c r="CI256" s="647"/>
      <c r="CJ256" s="647"/>
      <c r="CK256" s="647"/>
      <c r="CL256" s="647"/>
      <c r="CM256" s="647"/>
      <c r="CN256" s="647"/>
    </row>
    <row r="257" spans="1:92">
      <c r="A257" s="647"/>
      <c r="B257" s="663" t="s">
        <v>1027</v>
      </c>
      <c r="C257" s="663" t="s">
        <v>1118</v>
      </c>
      <c r="D257" s="664">
        <v>0</v>
      </c>
      <c r="E257" s="665">
        <f>+E258+E260</f>
        <v>263656363.66</v>
      </c>
      <c r="F257" s="647"/>
      <c r="G257" s="647"/>
      <c r="H257" s="647"/>
      <c r="I257" s="647"/>
      <c r="J257" s="647"/>
      <c r="K257" s="647"/>
      <c r="L257" s="647"/>
      <c r="M257" s="647"/>
      <c r="N257" s="647"/>
      <c r="O257" s="647"/>
      <c r="P257" s="647"/>
      <c r="Q257" s="647"/>
      <c r="R257" s="647"/>
      <c r="S257" s="647"/>
      <c r="T257" s="647"/>
      <c r="U257" s="647"/>
      <c r="V257" s="647"/>
      <c r="W257" s="647"/>
      <c r="X257" s="647"/>
      <c r="Y257" s="647"/>
      <c r="Z257" s="647"/>
      <c r="AA257" s="647"/>
      <c r="AB257" s="647"/>
      <c r="AC257" s="647"/>
      <c r="AD257" s="647"/>
      <c r="AE257" s="647"/>
      <c r="AF257" s="647"/>
      <c r="AG257" s="647"/>
      <c r="AH257" s="647"/>
      <c r="AI257" s="647"/>
      <c r="AJ257" s="647"/>
      <c r="AK257" s="647"/>
      <c r="AL257" s="647"/>
      <c r="AM257" s="647"/>
      <c r="AN257" s="647"/>
      <c r="AO257" s="647"/>
      <c r="AP257" s="647"/>
      <c r="AQ257" s="647"/>
      <c r="AR257" s="647"/>
      <c r="AS257" s="647"/>
      <c r="AT257" s="647"/>
      <c r="AU257" s="647"/>
      <c r="AV257" s="647"/>
      <c r="AW257" s="647"/>
      <c r="AX257" s="647"/>
      <c r="AY257" s="647"/>
      <c r="AZ257" s="647"/>
      <c r="BA257" s="647"/>
      <c r="BB257" s="647"/>
      <c r="BC257" s="647"/>
      <c r="BD257" s="647"/>
      <c r="BE257" s="647"/>
      <c r="BF257" s="647"/>
      <c r="BG257" s="647"/>
      <c r="BH257" s="647"/>
      <c r="BI257" s="647"/>
      <c r="BJ257" s="647"/>
      <c r="BK257" s="647"/>
      <c r="BL257" s="647"/>
      <c r="BM257" s="647"/>
      <c r="BN257" s="647"/>
      <c r="BO257" s="647"/>
      <c r="BP257" s="647"/>
      <c r="BQ257" s="647"/>
      <c r="BR257" s="647"/>
      <c r="BS257" s="647"/>
      <c r="BT257" s="647"/>
      <c r="BU257" s="647"/>
      <c r="BV257" s="647"/>
      <c r="BW257" s="647"/>
      <c r="BX257" s="647"/>
      <c r="BY257" s="647"/>
      <c r="BZ257" s="647"/>
      <c r="CA257" s="647"/>
      <c r="CB257" s="647"/>
      <c r="CC257" s="647"/>
      <c r="CD257" s="647"/>
      <c r="CE257" s="647"/>
      <c r="CF257" s="647"/>
      <c r="CG257" s="647"/>
      <c r="CH257" s="647"/>
      <c r="CI257" s="647"/>
      <c r="CJ257" s="647"/>
      <c r="CK257" s="647"/>
      <c r="CL257" s="647"/>
      <c r="CM257" s="647"/>
      <c r="CN257" s="647"/>
    </row>
    <row r="258" spans="1:92" ht="24">
      <c r="A258" s="647"/>
      <c r="B258" s="663" t="s">
        <v>1093</v>
      </c>
      <c r="C258" s="663" t="s">
        <v>1119</v>
      </c>
      <c r="D258" s="664">
        <v>0</v>
      </c>
      <c r="E258" s="665">
        <f>+'ST2'!D9</f>
        <v>263656363.66</v>
      </c>
      <c r="F258" s="647"/>
      <c r="G258" s="647"/>
      <c r="H258" s="647"/>
      <c r="I258" s="647"/>
      <c r="J258" s="647"/>
      <c r="K258" s="647"/>
      <c r="L258" s="647"/>
      <c r="M258" s="647"/>
      <c r="N258" s="647"/>
      <c r="O258" s="647"/>
      <c r="P258" s="647"/>
      <c r="Q258" s="647"/>
      <c r="R258" s="647"/>
      <c r="S258" s="647"/>
      <c r="T258" s="647"/>
      <c r="U258" s="647"/>
      <c r="V258" s="647"/>
      <c r="W258" s="647"/>
      <c r="X258" s="647"/>
      <c r="Y258" s="647"/>
      <c r="Z258" s="647"/>
      <c r="AA258" s="647"/>
      <c r="AB258" s="647"/>
      <c r="AC258" s="647"/>
      <c r="AD258" s="647"/>
      <c r="AE258" s="647"/>
      <c r="AF258" s="647"/>
      <c r="AG258" s="647"/>
      <c r="AH258" s="647"/>
      <c r="AI258" s="647"/>
      <c r="AJ258" s="647"/>
      <c r="AK258" s="647"/>
      <c r="AL258" s="647"/>
      <c r="AM258" s="647"/>
      <c r="AN258" s="647"/>
      <c r="AO258" s="647"/>
      <c r="AP258" s="647"/>
      <c r="AQ258" s="647"/>
      <c r="AR258" s="647"/>
      <c r="AS258" s="647"/>
      <c r="AT258" s="647"/>
      <c r="AU258" s="647"/>
      <c r="AV258" s="647"/>
      <c r="AW258" s="647"/>
      <c r="AX258" s="647"/>
      <c r="AY258" s="647"/>
      <c r="AZ258" s="647"/>
      <c r="BA258" s="647"/>
      <c r="BB258" s="647"/>
      <c r="BC258" s="647"/>
      <c r="BD258" s="647"/>
      <c r="BE258" s="647"/>
      <c r="BF258" s="647"/>
      <c r="BG258" s="647"/>
      <c r="BH258" s="647"/>
      <c r="BI258" s="647"/>
      <c r="BJ258" s="647"/>
      <c r="BK258" s="647"/>
      <c r="BL258" s="647"/>
      <c r="BM258" s="647"/>
      <c r="BN258" s="647"/>
      <c r="BO258" s="647"/>
      <c r="BP258" s="647"/>
      <c r="BQ258" s="647"/>
      <c r="BR258" s="647"/>
      <c r="BS258" s="647"/>
      <c r="BT258" s="647"/>
      <c r="BU258" s="647"/>
      <c r="BV258" s="647"/>
      <c r="BW258" s="647"/>
      <c r="BX258" s="647"/>
      <c r="BY258" s="647"/>
      <c r="BZ258" s="647"/>
      <c r="CA258" s="647"/>
      <c r="CB258" s="647"/>
      <c r="CC258" s="647"/>
      <c r="CD258" s="647"/>
      <c r="CE258" s="647"/>
      <c r="CF258" s="647"/>
      <c r="CG258" s="647"/>
      <c r="CH258" s="647"/>
      <c r="CI258" s="647"/>
      <c r="CJ258" s="647"/>
      <c r="CK258" s="647"/>
      <c r="CL258" s="647"/>
      <c r="CM258" s="647"/>
      <c r="CN258" s="647"/>
    </row>
    <row r="259" spans="1:92">
      <c r="A259" s="647"/>
      <c r="B259" s="663" t="s">
        <v>1095</v>
      </c>
      <c r="C259" s="663" t="s">
        <v>1007</v>
      </c>
      <c r="D259" s="664">
        <v>0</v>
      </c>
      <c r="E259" s="665">
        <v>0</v>
      </c>
      <c r="F259" s="647"/>
      <c r="G259" s="647"/>
      <c r="H259" s="647"/>
      <c r="I259" s="647"/>
      <c r="J259" s="647"/>
      <c r="K259" s="647"/>
      <c r="L259" s="647"/>
      <c r="M259" s="647"/>
      <c r="N259" s="647"/>
      <c r="O259" s="647"/>
      <c r="P259" s="647"/>
      <c r="Q259" s="647"/>
      <c r="R259" s="647"/>
      <c r="S259" s="647"/>
      <c r="T259" s="647"/>
      <c r="U259" s="647"/>
      <c r="V259" s="647"/>
      <c r="W259" s="647"/>
      <c r="X259" s="647"/>
      <c r="Y259" s="647"/>
      <c r="Z259" s="647"/>
      <c r="AA259" s="647"/>
      <c r="AB259" s="647"/>
      <c r="AC259" s="647"/>
      <c r="AD259" s="647"/>
      <c r="AE259" s="647"/>
      <c r="AF259" s="647"/>
      <c r="AG259" s="647"/>
      <c r="AH259" s="647"/>
      <c r="AI259" s="647"/>
      <c r="AJ259" s="647"/>
      <c r="AK259" s="647"/>
      <c r="AL259" s="647"/>
      <c r="AM259" s="647"/>
      <c r="AN259" s="647"/>
      <c r="AO259" s="647"/>
      <c r="AP259" s="647"/>
      <c r="AQ259" s="647"/>
      <c r="AR259" s="647"/>
      <c r="AS259" s="647"/>
      <c r="AT259" s="647"/>
      <c r="AU259" s="647"/>
      <c r="AV259" s="647"/>
      <c r="AW259" s="647"/>
      <c r="AX259" s="647"/>
      <c r="AY259" s="647"/>
      <c r="AZ259" s="647"/>
      <c r="BA259" s="647"/>
      <c r="BB259" s="647"/>
      <c r="BC259" s="647"/>
      <c r="BD259" s="647"/>
      <c r="BE259" s="647"/>
      <c r="BF259" s="647"/>
      <c r="BG259" s="647"/>
      <c r="BH259" s="647"/>
      <c r="BI259" s="647"/>
      <c r="BJ259" s="647"/>
      <c r="BK259" s="647"/>
      <c r="BL259" s="647"/>
      <c r="BM259" s="647"/>
      <c r="BN259" s="647"/>
      <c r="BO259" s="647"/>
      <c r="BP259" s="647"/>
      <c r="BQ259" s="647"/>
      <c r="BR259" s="647"/>
      <c r="BS259" s="647"/>
      <c r="BT259" s="647"/>
      <c r="BU259" s="647"/>
      <c r="BV259" s="647"/>
      <c r="BW259" s="647"/>
      <c r="BX259" s="647"/>
      <c r="BY259" s="647"/>
      <c r="BZ259" s="647"/>
      <c r="CA259" s="647"/>
      <c r="CB259" s="647"/>
      <c r="CC259" s="647"/>
      <c r="CD259" s="647"/>
      <c r="CE259" s="647"/>
      <c r="CF259" s="647"/>
      <c r="CG259" s="647"/>
      <c r="CH259" s="647"/>
      <c r="CI259" s="647"/>
      <c r="CJ259" s="647"/>
      <c r="CK259" s="647"/>
      <c r="CL259" s="647"/>
      <c r="CM259" s="647"/>
      <c r="CN259" s="647"/>
    </row>
    <row r="260" spans="1:92" ht="24">
      <c r="A260" s="647"/>
      <c r="B260" s="663" t="s">
        <v>1100</v>
      </c>
      <c r="C260" s="663" t="s">
        <v>1120</v>
      </c>
      <c r="D260" s="664">
        <v>0</v>
      </c>
      <c r="E260" s="665"/>
      <c r="F260" s="647"/>
      <c r="G260" s="647"/>
      <c r="H260" s="647"/>
      <c r="I260" s="647"/>
      <c r="J260" s="647"/>
      <c r="K260" s="647"/>
      <c r="L260" s="647"/>
      <c r="M260" s="647"/>
      <c r="N260" s="647"/>
      <c r="O260" s="647"/>
      <c r="P260" s="647"/>
      <c r="Q260" s="647"/>
      <c r="R260" s="647"/>
      <c r="S260" s="647"/>
      <c r="T260" s="647"/>
      <c r="U260" s="647"/>
      <c r="V260" s="647"/>
      <c r="W260" s="647"/>
      <c r="X260" s="647"/>
      <c r="Y260" s="647"/>
      <c r="Z260" s="647"/>
      <c r="AA260" s="647"/>
      <c r="AB260" s="647"/>
      <c r="AC260" s="647"/>
      <c r="AD260" s="647"/>
      <c r="AE260" s="647"/>
      <c r="AF260" s="647"/>
      <c r="AG260" s="647"/>
      <c r="AH260" s="647"/>
      <c r="AI260" s="647"/>
      <c r="AJ260" s="647"/>
      <c r="AK260" s="647"/>
      <c r="AL260" s="647"/>
      <c r="AM260" s="647"/>
      <c r="AN260" s="647"/>
      <c r="AO260" s="647"/>
      <c r="AP260" s="647"/>
      <c r="AQ260" s="647"/>
      <c r="AR260" s="647"/>
      <c r="AS260" s="647"/>
      <c r="AT260" s="647"/>
      <c r="AU260" s="647"/>
      <c r="AV260" s="647"/>
      <c r="AW260" s="647"/>
      <c r="AX260" s="647"/>
      <c r="AY260" s="647"/>
      <c r="AZ260" s="647"/>
      <c r="BA260" s="647"/>
      <c r="BB260" s="647"/>
      <c r="BC260" s="647"/>
      <c r="BD260" s="647"/>
      <c r="BE260" s="647"/>
      <c r="BF260" s="647"/>
      <c r="BG260" s="647"/>
      <c r="BH260" s="647"/>
      <c r="BI260" s="647"/>
      <c r="BJ260" s="647"/>
      <c r="BK260" s="647"/>
      <c r="BL260" s="647"/>
      <c r="BM260" s="647"/>
      <c r="BN260" s="647"/>
      <c r="BO260" s="647"/>
      <c r="BP260" s="647"/>
      <c r="BQ260" s="647"/>
      <c r="BR260" s="647"/>
      <c r="BS260" s="647"/>
      <c r="BT260" s="647"/>
      <c r="BU260" s="647"/>
      <c r="BV260" s="647"/>
      <c r="BW260" s="647"/>
      <c r="BX260" s="647"/>
      <c r="BY260" s="647"/>
      <c r="BZ260" s="647"/>
      <c r="CA260" s="647"/>
      <c r="CB260" s="647"/>
      <c r="CC260" s="647"/>
      <c r="CD260" s="647"/>
      <c r="CE260" s="647"/>
      <c r="CF260" s="647"/>
      <c r="CG260" s="647"/>
      <c r="CH260" s="647"/>
      <c r="CI260" s="647"/>
      <c r="CJ260" s="647"/>
      <c r="CK260" s="647"/>
      <c r="CL260" s="647"/>
      <c r="CM260" s="647"/>
      <c r="CN260" s="647"/>
    </row>
    <row r="261" spans="1:92">
      <c r="A261" s="647"/>
      <c r="B261" s="663" t="s">
        <v>1102</v>
      </c>
      <c r="C261" s="663" t="s">
        <v>1007</v>
      </c>
      <c r="D261" s="664">
        <v>0</v>
      </c>
      <c r="E261" s="665">
        <v>0</v>
      </c>
      <c r="F261" s="647"/>
      <c r="G261" s="647"/>
      <c r="H261" s="647"/>
      <c r="I261" s="647"/>
      <c r="J261" s="647"/>
      <c r="K261" s="647"/>
      <c r="L261" s="647"/>
      <c r="M261" s="647"/>
      <c r="N261" s="647"/>
      <c r="O261" s="647"/>
      <c r="P261" s="647"/>
      <c r="Q261" s="647"/>
      <c r="R261" s="647"/>
      <c r="S261" s="647"/>
      <c r="T261" s="647"/>
      <c r="U261" s="647"/>
      <c r="V261" s="647"/>
      <c r="W261" s="647"/>
      <c r="X261" s="647"/>
      <c r="Y261" s="647"/>
      <c r="Z261" s="647"/>
      <c r="AA261" s="647"/>
      <c r="AB261" s="647"/>
      <c r="AC261" s="647"/>
      <c r="AD261" s="647"/>
      <c r="AE261" s="647"/>
      <c r="AF261" s="647"/>
      <c r="AG261" s="647"/>
      <c r="AH261" s="647"/>
      <c r="AI261" s="647"/>
      <c r="AJ261" s="647"/>
      <c r="AK261" s="647"/>
      <c r="AL261" s="647"/>
      <c r="AM261" s="647"/>
      <c r="AN261" s="647"/>
      <c r="AO261" s="647"/>
      <c r="AP261" s="647"/>
      <c r="AQ261" s="647"/>
      <c r="AR261" s="647"/>
      <c r="AS261" s="647"/>
      <c r="AT261" s="647"/>
      <c r="AU261" s="647"/>
      <c r="AV261" s="647"/>
      <c r="AW261" s="647"/>
      <c r="AX261" s="647"/>
      <c r="AY261" s="647"/>
      <c r="AZ261" s="647"/>
      <c r="BA261" s="647"/>
      <c r="BB261" s="647"/>
      <c r="BC261" s="647"/>
      <c r="BD261" s="647"/>
      <c r="BE261" s="647"/>
      <c r="BF261" s="647"/>
      <c r="BG261" s="647"/>
      <c r="BH261" s="647"/>
      <c r="BI261" s="647"/>
      <c r="BJ261" s="647"/>
      <c r="BK261" s="647"/>
      <c r="BL261" s="647"/>
      <c r="BM261" s="647"/>
      <c r="BN261" s="647"/>
      <c r="BO261" s="647"/>
      <c r="BP261" s="647"/>
      <c r="BQ261" s="647"/>
      <c r="BR261" s="647"/>
      <c r="BS261" s="647"/>
      <c r="BT261" s="647"/>
      <c r="BU261" s="647"/>
      <c r="BV261" s="647"/>
      <c r="BW261" s="647"/>
      <c r="BX261" s="647"/>
      <c r="BY261" s="647"/>
      <c r="BZ261" s="647"/>
      <c r="CA261" s="647"/>
      <c r="CB261" s="647"/>
      <c r="CC261" s="647"/>
      <c r="CD261" s="647"/>
      <c r="CE261" s="647"/>
      <c r="CF261" s="647"/>
      <c r="CG261" s="647"/>
      <c r="CH261" s="647"/>
      <c r="CI261" s="647"/>
      <c r="CJ261" s="647"/>
      <c r="CK261" s="647"/>
      <c r="CL261" s="647"/>
      <c r="CM261" s="647"/>
      <c r="CN261" s="647"/>
    </row>
    <row r="262" spans="1:92" ht="24">
      <c r="A262" s="647"/>
      <c r="B262" s="663" t="s">
        <v>1005</v>
      </c>
      <c r="C262" s="663" t="s">
        <v>1121</v>
      </c>
      <c r="D262" s="664">
        <v>0</v>
      </c>
      <c r="E262" s="665">
        <f>+E258+E260</f>
        <v>263656363.66</v>
      </c>
      <c r="F262" s="647"/>
      <c r="G262" s="647"/>
      <c r="H262" s="647"/>
      <c r="I262" s="647"/>
      <c r="J262" s="647"/>
      <c r="K262" s="647"/>
      <c r="L262" s="647"/>
      <c r="M262" s="647"/>
      <c r="N262" s="647"/>
      <c r="O262" s="647"/>
      <c r="P262" s="647"/>
      <c r="Q262" s="647"/>
      <c r="R262" s="647"/>
      <c r="S262" s="647"/>
      <c r="T262" s="647"/>
      <c r="U262" s="647"/>
      <c r="V262" s="647"/>
      <c r="W262" s="647"/>
      <c r="X262" s="647"/>
      <c r="Y262" s="647"/>
      <c r="Z262" s="647"/>
      <c r="AA262" s="647"/>
      <c r="AB262" s="647"/>
      <c r="AC262" s="647"/>
      <c r="AD262" s="647"/>
      <c r="AE262" s="647"/>
      <c r="AF262" s="647"/>
      <c r="AG262" s="647"/>
      <c r="AH262" s="647"/>
      <c r="AI262" s="647"/>
      <c r="AJ262" s="647"/>
      <c r="AK262" s="647"/>
      <c r="AL262" s="647"/>
      <c r="AM262" s="647"/>
      <c r="AN262" s="647"/>
      <c r="AO262" s="647"/>
      <c r="AP262" s="647"/>
      <c r="AQ262" s="647"/>
      <c r="AR262" s="647"/>
      <c r="AS262" s="647"/>
      <c r="AT262" s="647"/>
      <c r="AU262" s="647"/>
      <c r="AV262" s="647"/>
      <c r="AW262" s="647"/>
      <c r="AX262" s="647"/>
      <c r="AY262" s="647"/>
      <c r="AZ262" s="647"/>
      <c r="BA262" s="647"/>
      <c r="BB262" s="647"/>
      <c r="BC262" s="647"/>
      <c r="BD262" s="647"/>
      <c r="BE262" s="647"/>
      <c r="BF262" s="647"/>
      <c r="BG262" s="647"/>
      <c r="BH262" s="647"/>
      <c r="BI262" s="647"/>
      <c r="BJ262" s="647"/>
      <c r="BK262" s="647"/>
      <c r="BL262" s="647"/>
      <c r="BM262" s="647"/>
      <c r="BN262" s="647"/>
      <c r="BO262" s="647"/>
      <c r="BP262" s="647"/>
      <c r="BQ262" s="647"/>
      <c r="BR262" s="647"/>
      <c r="BS262" s="647"/>
      <c r="BT262" s="647"/>
      <c r="BU262" s="647"/>
      <c r="BV262" s="647"/>
      <c r="BW262" s="647"/>
      <c r="BX262" s="647"/>
      <c r="BY262" s="647"/>
      <c r="BZ262" s="647"/>
      <c r="CA262" s="647"/>
      <c r="CB262" s="647"/>
      <c r="CC262" s="647"/>
      <c r="CD262" s="647"/>
      <c r="CE262" s="647"/>
      <c r="CF262" s="647"/>
      <c r="CG262" s="647"/>
      <c r="CH262" s="647"/>
      <c r="CI262" s="647"/>
      <c r="CJ262" s="647"/>
      <c r="CK262" s="647"/>
      <c r="CL262" s="647"/>
      <c r="CM262" s="647"/>
      <c r="CN262" s="647"/>
    </row>
    <row r="263" spans="1:92" ht="36">
      <c r="A263" s="647"/>
      <c r="B263" s="663" t="s">
        <v>1076</v>
      </c>
      <c r="C263" s="666" t="s">
        <v>1122</v>
      </c>
      <c r="D263" s="664">
        <v>0</v>
      </c>
      <c r="E263" s="665">
        <v>0</v>
      </c>
      <c r="F263" s="647"/>
      <c r="G263" s="647"/>
      <c r="H263" s="647"/>
      <c r="I263" s="647"/>
      <c r="J263" s="647"/>
      <c r="K263" s="647"/>
      <c r="L263" s="647"/>
      <c r="M263" s="647"/>
      <c r="N263" s="647"/>
      <c r="O263" s="647"/>
      <c r="P263" s="647"/>
      <c r="Q263" s="647"/>
      <c r="R263" s="647"/>
      <c r="S263" s="647"/>
      <c r="T263" s="647"/>
      <c r="U263" s="647"/>
      <c r="V263" s="647"/>
      <c r="W263" s="647"/>
      <c r="X263" s="647"/>
      <c r="Y263" s="647"/>
      <c r="Z263" s="647"/>
      <c r="AA263" s="647"/>
      <c r="AB263" s="647"/>
      <c r="AC263" s="647"/>
      <c r="AD263" s="647"/>
      <c r="AE263" s="647"/>
      <c r="AF263" s="647"/>
      <c r="AG263" s="647"/>
      <c r="AH263" s="647"/>
      <c r="AI263" s="647"/>
      <c r="AJ263" s="647"/>
      <c r="AK263" s="647"/>
      <c r="AL263" s="647"/>
      <c r="AM263" s="647"/>
      <c r="AN263" s="647"/>
      <c r="AO263" s="647"/>
      <c r="AP263" s="647"/>
      <c r="AQ263" s="647"/>
      <c r="AR263" s="647"/>
      <c r="AS263" s="647"/>
      <c r="AT263" s="647"/>
      <c r="AU263" s="647"/>
      <c r="AV263" s="647"/>
      <c r="AW263" s="647"/>
      <c r="AX263" s="647"/>
      <c r="AY263" s="647"/>
      <c r="AZ263" s="647"/>
      <c r="BA263" s="647"/>
      <c r="BB263" s="647"/>
      <c r="BC263" s="647"/>
      <c r="BD263" s="647"/>
      <c r="BE263" s="647"/>
      <c r="BF263" s="647"/>
      <c r="BG263" s="647"/>
      <c r="BH263" s="647"/>
      <c r="BI263" s="647"/>
      <c r="BJ263" s="647"/>
      <c r="BK263" s="647"/>
      <c r="BL263" s="647"/>
      <c r="BM263" s="647"/>
      <c r="BN263" s="647"/>
      <c r="BO263" s="647"/>
      <c r="BP263" s="647"/>
      <c r="BQ263" s="647"/>
      <c r="BR263" s="647"/>
      <c r="BS263" s="647"/>
      <c r="BT263" s="647"/>
      <c r="BU263" s="647"/>
      <c r="BV263" s="647"/>
      <c r="BW263" s="647"/>
      <c r="BX263" s="647"/>
      <c r="BY263" s="647"/>
      <c r="BZ263" s="647"/>
      <c r="CA263" s="647"/>
      <c r="CB263" s="647"/>
      <c r="CC263" s="647"/>
      <c r="CD263" s="647"/>
      <c r="CE263" s="647"/>
      <c r="CF263" s="647"/>
      <c r="CG263" s="647"/>
      <c r="CH263" s="647"/>
      <c r="CI263" s="647"/>
      <c r="CJ263" s="647"/>
      <c r="CK263" s="647"/>
      <c r="CL263" s="647"/>
      <c r="CM263" s="647"/>
      <c r="CN263" s="647"/>
    </row>
    <row r="264" spans="1:92">
      <c r="A264" s="647"/>
      <c r="B264" s="663" t="s">
        <v>1031</v>
      </c>
      <c r="C264" s="666" t="s">
        <v>1123</v>
      </c>
      <c r="D264" s="664">
        <v>0</v>
      </c>
      <c r="E264" s="665">
        <f>+E262</f>
        <v>263656363.66</v>
      </c>
      <c r="F264" s="647"/>
      <c r="G264" s="647"/>
      <c r="H264" s="647"/>
      <c r="I264" s="647"/>
      <c r="J264" s="647"/>
      <c r="K264" s="647"/>
      <c r="L264" s="647"/>
      <c r="M264" s="647"/>
      <c r="N264" s="647"/>
      <c r="O264" s="647"/>
      <c r="P264" s="647"/>
      <c r="Q264" s="647"/>
      <c r="R264" s="647"/>
      <c r="S264" s="647"/>
      <c r="T264" s="647"/>
      <c r="U264" s="647"/>
      <c r="V264" s="647"/>
      <c r="W264" s="647"/>
      <c r="X264" s="647"/>
      <c r="Y264" s="647"/>
      <c r="Z264" s="647"/>
      <c r="AA264" s="647"/>
      <c r="AB264" s="647"/>
      <c r="AC264" s="647"/>
      <c r="AD264" s="647"/>
      <c r="AE264" s="647"/>
      <c r="AF264" s="647"/>
      <c r="AG264" s="647"/>
      <c r="AH264" s="647"/>
      <c r="AI264" s="647"/>
      <c r="AJ264" s="647"/>
      <c r="AK264" s="647"/>
      <c r="AL264" s="647"/>
      <c r="AM264" s="647"/>
      <c r="AN264" s="647"/>
      <c r="AO264" s="647"/>
      <c r="AP264" s="647"/>
      <c r="AQ264" s="647"/>
      <c r="AR264" s="647"/>
      <c r="AS264" s="647"/>
      <c r="AT264" s="647"/>
      <c r="AU264" s="647"/>
      <c r="AV264" s="647"/>
      <c r="AW264" s="647"/>
      <c r="AX264" s="647"/>
      <c r="AY264" s="647"/>
      <c r="AZ264" s="647"/>
      <c r="BA264" s="647"/>
      <c r="BB264" s="647"/>
      <c r="BC264" s="647"/>
      <c r="BD264" s="647"/>
      <c r="BE264" s="647"/>
      <c r="BF264" s="647"/>
      <c r="BG264" s="647"/>
      <c r="BH264" s="647"/>
      <c r="BI264" s="647"/>
      <c r="BJ264" s="647"/>
      <c r="BK264" s="647"/>
      <c r="BL264" s="647"/>
      <c r="BM264" s="647"/>
      <c r="BN264" s="647"/>
      <c r="BO264" s="647"/>
      <c r="BP264" s="647"/>
      <c r="BQ264" s="647"/>
      <c r="BR264" s="647"/>
      <c r="BS264" s="647"/>
      <c r="BT264" s="647"/>
      <c r="BU264" s="647"/>
      <c r="BV264" s="647"/>
      <c r="BW264" s="647"/>
      <c r="BX264" s="647"/>
      <c r="BY264" s="647"/>
      <c r="BZ264" s="647"/>
      <c r="CA264" s="647"/>
      <c r="CB264" s="647"/>
      <c r="CC264" s="647"/>
      <c r="CD264" s="647"/>
      <c r="CE264" s="647"/>
      <c r="CF264" s="647"/>
      <c r="CG264" s="647"/>
      <c r="CH264" s="647"/>
      <c r="CI264" s="647"/>
      <c r="CJ264" s="647"/>
      <c r="CK264" s="647"/>
      <c r="CL264" s="647"/>
      <c r="CM264" s="647"/>
      <c r="CN264" s="647"/>
    </row>
    <row r="265" spans="1:92" ht="24">
      <c r="A265" s="647"/>
      <c r="B265" s="663" t="s">
        <v>1007</v>
      </c>
      <c r="C265" s="666" t="s">
        <v>1124</v>
      </c>
      <c r="D265" s="664">
        <v>0</v>
      </c>
      <c r="E265" s="665">
        <v>0</v>
      </c>
      <c r="F265" s="647"/>
      <c r="G265" s="647"/>
      <c r="H265" s="647"/>
      <c r="I265" s="647"/>
      <c r="J265" s="647"/>
      <c r="K265" s="647"/>
      <c r="L265" s="647"/>
      <c r="M265" s="647"/>
      <c r="N265" s="647"/>
      <c r="O265" s="647"/>
      <c r="P265" s="647"/>
      <c r="Q265" s="647"/>
      <c r="R265" s="647"/>
      <c r="S265" s="647"/>
      <c r="T265" s="647"/>
      <c r="U265" s="647"/>
      <c r="V265" s="647"/>
      <c r="W265" s="647"/>
      <c r="X265" s="647"/>
      <c r="Y265" s="647"/>
      <c r="Z265" s="647"/>
      <c r="AA265" s="647"/>
      <c r="AB265" s="647"/>
      <c r="AC265" s="647"/>
      <c r="AD265" s="647"/>
      <c r="AE265" s="647"/>
      <c r="AF265" s="647"/>
      <c r="AG265" s="647"/>
      <c r="AH265" s="647"/>
      <c r="AI265" s="647"/>
      <c r="AJ265" s="647"/>
      <c r="AK265" s="647"/>
      <c r="AL265" s="647"/>
      <c r="AM265" s="647"/>
      <c r="AN265" s="647"/>
      <c r="AO265" s="647"/>
      <c r="AP265" s="647"/>
      <c r="AQ265" s="647"/>
      <c r="AR265" s="647"/>
      <c r="AS265" s="647"/>
      <c r="AT265" s="647"/>
      <c r="AU265" s="647"/>
      <c r="AV265" s="647"/>
      <c r="AW265" s="647"/>
      <c r="AX265" s="647"/>
      <c r="AY265" s="647"/>
      <c r="AZ265" s="647"/>
      <c r="BA265" s="647"/>
      <c r="BB265" s="647"/>
      <c r="BC265" s="647"/>
      <c r="BD265" s="647"/>
      <c r="BE265" s="647"/>
      <c r="BF265" s="647"/>
      <c r="BG265" s="647"/>
      <c r="BH265" s="647"/>
      <c r="BI265" s="647"/>
      <c r="BJ265" s="647"/>
      <c r="BK265" s="647"/>
      <c r="BL265" s="647"/>
      <c r="BM265" s="647"/>
      <c r="BN265" s="647"/>
      <c r="BO265" s="647"/>
      <c r="BP265" s="647"/>
      <c r="BQ265" s="647"/>
      <c r="BR265" s="647"/>
      <c r="BS265" s="647"/>
      <c r="BT265" s="647"/>
      <c r="BU265" s="647"/>
      <c r="BV265" s="647"/>
      <c r="BW265" s="647"/>
      <c r="BX265" s="647"/>
      <c r="BY265" s="647"/>
      <c r="BZ265" s="647"/>
      <c r="CA265" s="647"/>
      <c r="CB265" s="647"/>
      <c r="CC265" s="647"/>
      <c r="CD265" s="647"/>
      <c r="CE265" s="647"/>
      <c r="CF265" s="647"/>
      <c r="CG265" s="647"/>
      <c r="CH265" s="647"/>
      <c r="CI265" s="647"/>
      <c r="CJ265" s="647"/>
      <c r="CK265" s="647"/>
      <c r="CL265" s="647"/>
      <c r="CM265" s="647"/>
      <c r="CN265" s="647"/>
    </row>
    <row r="266" spans="1:92" ht="24">
      <c r="A266" s="647"/>
      <c r="B266" s="663" t="s">
        <v>1125</v>
      </c>
      <c r="C266" s="663" t="s">
        <v>1126</v>
      </c>
      <c r="D266" s="664">
        <v>0</v>
      </c>
      <c r="E266" s="665">
        <f>+'ST2'!D10</f>
        <v>207380523.75248128</v>
      </c>
      <c r="F266" s="647"/>
      <c r="G266" s="647"/>
      <c r="H266" s="647"/>
      <c r="I266" s="647"/>
      <c r="J266" s="647"/>
      <c r="K266" s="647"/>
      <c r="L266" s="647"/>
      <c r="M266" s="647"/>
      <c r="N266" s="647"/>
      <c r="O266" s="647"/>
      <c r="P266" s="647"/>
      <c r="Q266" s="647"/>
      <c r="R266" s="647"/>
      <c r="S266" s="647"/>
      <c r="T266" s="647"/>
      <c r="U266" s="647"/>
      <c r="V266" s="647"/>
      <c r="W266" s="647"/>
      <c r="X266" s="647"/>
      <c r="Y266" s="647"/>
      <c r="Z266" s="647"/>
      <c r="AA266" s="647"/>
      <c r="AB266" s="647"/>
      <c r="AC266" s="647"/>
      <c r="AD266" s="647"/>
      <c r="AE266" s="647"/>
      <c r="AF266" s="647"/>
      <c r="AG266" s="647"/>
      <c r="AH266" s="647"/>
      <c r="AI266" s="647"/>
      <c r="AJ266" s="647"/>
      <c r="AK266" s="647"/>
      <c r="AL266" s="647"/>
      <c r="AM266" s="647"/>
      <c r="AN266" s="647"/>
      <c r="AO266" s="647"/>
      <c r="AP266" s="647"/>
      <c r="AQ266" s="647"/>
      <c r="AR266" s="647"/>
      <c r="AS266" s="647"/>
      <c r="AT266" s="647"/>
      <c r="AU266" s="647"/>
      <c r="AV266" s="647"/>
      <c r="AW266" s="647"/>
      <c r="AX266" s="647"/>
      <c r="AY266" s="647"/>
      <c r="AZ266" s="647"/>
      <c r="BA266" s="647"/>
      <c r="BB266" s="647"/>
      <c r="BC266" s="647"/>
      <c r="BD266" s="647"/>
      <c r="BE266" s="647"/>
      <c r="BF266" s="647"/>
      <c r="BG266" s="647"/>
      <c r="BH266" s="647"/>
      <c r="BI266" s="647"/>
      <c r="BJ266" s="647"/>
      <c r="BK266" s="647"/>
      <c r="BL266" s="647"/>
      <c r="BM266" s="647"/>
      <c r="BN266" s="647"/>
      <c r="BO266" s="647"/>
      <c r="BP266" s="647"/>
      <c r="BQ266" s="647"/>
      <c r="BR266" s="647"/>
      <c r="BS266" s="647"/>
      <c r="BT266" s="647"/>
      <c r="BU266" s="647"/>
      <c r="BV266" s="647"/>
      <c r="BW266" s="647"/>
      <c r="BX266" s="647"/>
      <c r="BY266" s="647"/>
      <c r="BZ266" s="647"/>
      <c r="CA266" s="647"/>
      <c r="CB266" s="647"/>
      <c r="CC266" s="647"/>
      <c r="CD266" s="647"/>
      <c r="CE266" s="647"/>
      <c r="CF266" s="647"/>
      <c r="CG266" s="647"/>
      <c r="CH266" s="647"/>
      <c r="CI266" s="647"/>
      <c r="CJ266" s="647"/>
      <c r="CK266" s="647"/>
      <c r="CL266" s="647"/>
      <c r="CM266" s="647"/>
      <c r="CN266" s="647"/>
    </row>
    <row r="267" spans="1:92">
      <c r="A267" s="647"/>
      <c r="B267" s="663" t="s">
        <v>1127</v>
      </c>
      <c r="C267" s="663" t="s">
        <v>1007</v>
      </c>
      <c r="D267" s="664">
        <v>0</v>
      </c>
      <c r="E267" s="665">
        <v>0</v>
      </c>
      <c r="F267" s="647"/>
      <c r="G267" s="647"/>
      <c r="H267" s="647"/>
      <c r="I267" s="647"/>
      <c r="J267" s="647"/>
      <c r="K267" s="647"/>
      <c r="L267" s="647"/>
      <c r="M267" s="647"/>
      <c r="N267" s="647"/>
      <c r="O267" s="647"/>
      <c r="P267" s="647"/>
      <c r="Q267" s="647"/>
      <c r="R267" s="647"/>
      <c r="S267" s="647"/>
      <c r="T267" s="647"/>
      <c r="U267" s="647"/>
      <c r="V267" s="647"/>
      <c r="W267" s="647"/>
      <c r="X267" s="647"/>
      <c r="Y267" s="647"/>
      <c r="Z267" s="647"/>
      <c r="AA267" s="647"/>
      <c r="AB267" s="647"/>
      <c r="AC267" s="647"/>
      <c r="AD267" s="647"/>
      <c r="AE267" s="647"/>
      <c r="AF267" s="647"/>
      <c r="AG267" s="647"/>
      <c r="AH267" s="647"/>
      <c r="AI267" s="647"/>
      <c r="AJ267" s="647"/>
      <c r="AK267" s="647"/>
      <c r="AL267" s="647"/>
      <c r="AM267" s="647"/>
      <c r="AN267" s="647"/>
      <c r="AO267" s="647"/>
      <c r="AP267" s="647"/>
      <c r="AQ267" s="647"/>
      <c r="AR267" s="647"/>
      <c r="AS267" s="647"/>
      <c r="AT267" s="647"/>
      <c r="AU267" s="647"/>
      <c r="AV267" s="647"/>
      <c r="AW267" s="647"/>
      <c r="AX267" s="647"/>
      <c r="AY267" s="647"/>
      <c r="AZ267" s="647"/>
      <c r="BA267" s="647"/>
      <c r="BB267" s="647"/>
      <c r="BC267" s="647"/>
      <c r="BD267" s="647"/>
      <c r="BE267" s="647"/>
      <c r="BF267" s="647"/>
      <c r="BG267" s="647"/>
      <c r="BH267" s="647"/>
      <c r="BI267" s="647"/>
      <c r="BJ267" s="647"/>
      <c r="BK267" s="647"/>
      <c r="BL267" s="647"/>
      <c r="BM267" s="647"/>
      <c r="BN267" s="647"/>
      <c r="BO267" s="647"/>
      <c r="BP267" s="647"/>
      <c r="BQ267" s="647"/>
      <c r="BR267" s="647"/>
      <c r="BS267" s="647"/>
      <c r="BT267" s="647"/>
      <c r="BU267" s="647"/>
      <c r="BV267" s="647"/>
      <c r="BW267" s="647"/>
      <c r="BX267" s="647"/>
      <c r="BY267" s="647"/>
      <c r="BZ267" s="647"/>
      <c r="CA267" s="647"/>
      <c r="CB267" s="647"/>
      <c r="CC267" s="647"/>
      <c r="CD267" s="647"/>
      <c r="CE267" s="647"/>
      <c r="CF267" s="647"/>
      <c r="CG267" s="647"/>
      <c r="CH267" s="647"/>
      <c r="CI267" s="647"/>
      <c r="CJ267" s="647"/>
      <c r="CK267" s="647"/>
      <c r="CL267" s="647"/>
      <c r="CM267" s="647"/>
      <c r="CN267" s="647"/>
    </row>
    <row r="268" spans="1:92" ht="24">
      <c r="A268" s="647"/>
      <c r="B268" s="663" t="s">
        <v>1128</v>
      </c>
      <c r="C268" s="663" t="s">
        <v>1129</v>
      </c>
      <c r="D268" s="664">
        <v>0</v>
      </c>
      <c r="E268" s="665"/>
      <c r="F268" s="647"/>
      <c r="G268" s="647"/>
      <c r="H268" s="647"/>
      <c r="I268" s="647"/>
      <c r="J268" s="647"/>
      <c r="K268" s="647"/>
      <c r="L268" s="647"/>
      <c r="M268" s="647"/>
      <c r="N268" s="647"/>
      <c r="O268" s="647"/>
      <c r="P268" s="647"/>
      <c r="Q268" s="647"/>
      <c r="R268" s="647"/>
      <c r="S268" s="647"/>
      <c r="T268" s="647"/>
      <c r="U268" s="647"/>
      <c r="V268" s="647"/>
      <c r="W268" s="647"/>
      <c r="X268" s="647"/>
      <c r="Y268" s="647"/>
      <c r="Z268" s="647"/>
      <c r="AA268" s="647"/>
      <c r="AB268" s="647"/>
      <c r="AC268" s="647"/>
      <c r="AD268" s="647"/>
      <c r="AE268" s="647"/>
      <c r="AF268" s="647"/>
      <c r="AG268" s="647"/>
      <c r="AH268" s="647"/>
      <c r="AI268" s="647"/>
      <c r="AJ268" s="647"/>
      <c r="AK268" s="647"/>
      <c r="AL268" s="647"/>
      <c r="AM268" s="647"/>
      <c r="AN268" s="647"/>
      <c r="AO268" s="647"/>
      <c r="AP268" s="647"/>
      <c r="AQ268" s="647"/>
      <c r="AR268" s="647"/>
      <c r="AS268" s="647"/>
      <c r="AT268" s="647"/>
      <c r="AU268" s="647"/>
      <c r="AV268" s="647"/>
      <c r="AW268" s="647"/>
      <c r="AX268" s="647"/>
      <c r="AY268" s="647"/>
      <c r="AZ268" s="647"/>
      <c r="BA268" s="647"/>
      <c r="BB268" s="647"/>
      <c r="BC268" s="647"/>
      <c r="BD268" s="647"/>
      <c r="BE268" s="647"/>
      <c r="BF268" s="647"/>
      <c r="BG268" s="647"/>
      <c r="BH268" s="647"/>
      <c r="BI268" s="647"/>
      <c r="BJ268" s="647"/>
      <c r="BK268" s="647"/>
      <c r="BL268" s="647"/>
      <c r="BM268" s="647"/>
      <c r="BN268" s="647"/>
      <c r="BO268" s="647"/>
      <c r="BP268" s="647"/>
      <c r="BQ268" s="647"/>
      <c r="BR268" s="647"/>
      <c r="BS268" s="647"/>
      <c r="BT268" s="647"/>
      <c r="BU268" s="647"/>
      <c r="BV268" s="647"/>
      <c r="BW268" s="647"/>
      <c r="BX268" s="647"/>
      <c r="BY268" s="647"/>
      <c r="BZ268" s="647"/>
      <c r="CA268" s="647"/>
      <c r="CB268" s="647"/>
      <c r="CC268" s="647"/>
      <c r="CD268" s="647"/>
      <c r="CE268" s="647"/>
      <c r="CF268" s="647"/>
      <c r="CG268" s="647"/>
      <c r="CH268" s="647"/>
      <c r="CI268" s="647"/>
      <c r="CJ268" s="647"/>
      <c r="CK268" s="647"/>
      <c r="CL268" s="647"/>
      <c r="CM268" s="647"/>
      <c r="CN268" s="647"/>
    </row>
    <row r="269" spans="1:92">
      <c r="A269" s="647"/>
      <c r="B269" s="663" t="s">
        <v>1130</v>
      </c>
      <c r="C269" s="663" t="s">
        <v>1007</v>
      </c>
      <c r="D269" s="664">
        <v>0</v>
      </c>
      <c r="E269" s="665">
        <v>0</v>
      </c>
      <c r="F269" s="647"/>
      <c r="G269" s="647"/>
      <c r="H269" s="647"/>
      <c r="I269" s="647"/>
      <c r="J269" s="647"/>
      <c r="K269" s="647"/>
      <c r="L269" s="647"/>
      <c r="M269" s="647"/>
      <c r="N269" s="647"/>
      <c r="O269" s="647"/>
      <c r="P269" s="647"/>
      <c r="Q269" s="647"/>
      <c r="R269" s="647"/>
      <c r="S269" s="647"/>
      <c r="T269" s="647"/>
      <c r="U269" s="647"/>
      <c r="V269" s="647"/>
      <c r="W269" s="647"/>
      <c r="X269" s="647"/>
      <c r="Y269" s="647"/>
      <c r="Z269" s="647"/>
      <c r="AA269" s="647"/>
      <c r="AB269" s="647"/>
      <c r="AC269" s="647"/>
      <c r="AD269" s="647"/>
      <c r="AE269" s="647"/>
      <c r="AF269" s="647"/>
      <c r="AG269" s="647"/>
      <c r="AH269" s="647"/>
      <c r="AI269" s="647"/>
      <c r="AJ269" s="647"/>
      <c r="AK269" s="647"/>
      <c r="AL269" s="647"/>
      <c r="AM269" s="647"/>
      <c r="AN269" s="647"/>
      <c r="AO269" s="647"/>
      <c r="AP269" s="647"/>
      <c r="AQ269" s="647"/>
      <c r="AR269" s="647"/>
      <c r="AS269" s="647"/>
      <c r="AT269" s="647"/>
      <c r="AU269" s="647"/>
      <c r="AV269" s="647"/>
      <c r="AW269" s="647"/>
      <c r="AX269" s="647"/>
      <c r="AY269" s="647"/>
      <c r="AZ269" s="647"/>
      <c r="BA269" s="647"/>
      <c r="BB269" s="647"/>
      <c r="BC269" s="647"/>
      <c r="BD269" s="647"/>
      <c r="BE269" s="647"/>
      <c r="BF269" s="647"/>
      <c r="BG269" s="647"/>
      <c r="BH269" s="647"/>
      <c r="BI269" s="647"/>
      <c r="BJ269" s="647"/>
      <c r="BK269" s="647"/>
      <c r="BL269" s="647"/>
      <c r="BM269" s="647"/>
      <c r="BN269" s="647"/>
      <c r="BO269" s="647"/>
      <c r="BP269" s="647"/>
      <c r="BQ269" s="647"/>
      <c r="BR269" s="647"/>
      <c r="BS269" s="647"/>
      <c r="BT269" s="647"/>
      <c r="BU269" s="647"/>
      <c r="BV269" s="647"/>
      <c r="BW269" s="647"/>
      <c r="BX269" s="647"/>
      <c r="BY269" s="647"/>
      <c r="BZ269" s="647"/>
      <c r="CA269" s="647"/>
      <c r="CB269" s="647"/>
      <c r="CC269" s="647"/>
      <c r="CD269" s="647"/>
      <c r="CE269" s="647"/>
      <c r="CF269" s="647"/>
      <c r="CG269" s="647"/>
      <c r="CH269" s="647"/>
      <c r="CI269" s="647"/>
      <c r="CJ269" s="647"/>
      <c r="CK269" s="647"/>
      <c r="CL269" s="647"/>
      <c r="CM269" s="647"/>
      <c r="CN269" s="647"/>
    </row>
    <row r="270" spans="1:92" ht="24">
      <c r="A270" s="647"/>
      <c r="B270" s="663" t="s">
        <v>1131</v>
      </c>
      <c r="C270" s="666" t="s">
        <v>1132</v>
      </c>
      <c r="D270" s="664">
        <v>0</v>
      </c>
      <c r="E270" s="665">
        <f>+E266+E268</f>
        <v>207380523.75248128</v>
      </c>
      <c r="F270" s="647"/>
      <c r="G270" s="647"/>
      <c r="H270" s="647"/>
      <c r="I270" s="647"/>
      <c r="J270" s="647"/>
      <c r="K270" s="647"/>
      <c r="L270" s="647"/>
      <c r="M270" s="647"/>
      <c r="N270" s="647"/>
      <c r="O270" s="647"/>
      <c r="P270" s="647"/>
      <c r="Q270" s="647"/>
      <c r="R270" s="647"/>
      <c r="S270" s="647"/>
      <c r="T270" s="647"/>
      <c r="U270" s="647"/>
      <c r="V270" s="647"/>
      <c r="W270" s="647"/>
      <c r="X270" s="647"/>
      <c r="Y270" s="647"/>
      <c r="Z270" s="647"/>
      <c r="AA270" s="647"/>
      <c r="AB270" s="647"/>
      <c r="AC270" s="647"/>
      <c r="AD270" s="647"/>
      <c r="AE270" s="647"/>
      <c r="AF270" s="647"/>
      <c r="AG270" s="647"/>
      <c r="AH270" s="647"/>
      <c r="AI270" s="647"/>
      <c r="AJ270" s="647"/>
      <c r="AK270" s="647"/>
      <c r="AL270" s="647"/>
      <c r="AM270" s="647"/>
      <c r="AN270" s="647"/>
      <c r="AO270" s="647"/>
      <c r="AP270" s="647"/>
      <c r="AQ270" s="647"/>
      <c r="AR270" s="647"/>
      <c r="AS270" s="647"/>
      <c r="AT270" s="647"/>
      <c r="AU270" s="647"/>
      <c r="AV270" s="647"/>
      <c r="AW270" s="647"/>
      <c r="AX270" s="647"/>
      <c r="AY270" s="647"/>
      <c r="AZ270" s="647"/>
      <c r="BA270" s="647"/>
      <c r="BB270" s="647"/>
      <c r="BC270" s="647"/>
      <c r="BD270" s="647"/>
      <c r="BE270" s="647"/>
      <c r="BF270" s="647"/>
      <c r="BG270" s="647"/>
      <c r="BH270" s="647"/>
      <c r="BI270" s="647"/>
      <c r="BJ270" s="647"/>
      <c r="BK270" s="647"/>
      <c r="BL270" s="647"/>
      <c r="BM270" s="647"/>
      <c r="BN270" s="647"/>
      <c r="BO270" s="647"/>
      <c r="BP270" s="647"/>
      <c r="BQ270" s="647"/>
      <c r="BR270" s="647"/>
      <c r="BS270" s="647"/>
      <c r="BT270" s="647"/>
      <c r="BU270" s="647"/>
      <c r="BV270" s="647"/>
      <c r="BW270" s="647"/>
      <c r="BX270" s="647"/>
      <c r="BY270" s="647"/>
      <c r="BZ270" s="647"/>
      <c r="CA270" s="647"/>
      <c r="CB270" s="647"/>
      <c r="CC270" s="647"/>
      <c r="CD270" s="647"/>
      <c r="CE270" s="647"/>
      <c r="CF270" s="647"/>
      <c r="CG270" s="647"/>
      <c r="CH270" s="647"/>
      <c r="CI270" s="647"/>
      <c r="CJ270" s="647"/>
      <c r="CK270" s="647"/>
      <c r="CL270" s="647"/>
      <c r="CM270" s="647"/>
      <c r="CN270" s="647"/>
    </row>
    <row r="271" spans="1:92">
      <c r="A271" s="647" t="s">
        <v>1007</v>
      </c>
      <c r="B271" s="647" t="s">
        <v>1007</v>
      </c>
      <c r="C271" s="647" t="s">
        <v>1007</v>
      </c>
      <c r="D271" s="647" t="s">
        <v>1007</v>
      </c>
      <c r="F271" s="647"/>
      <c r="G271" s="647"/>
      <c r="H271" s="647"/>
      <c r="I271" s="647"/>
      <c r="J271" s="647"/>
      <c r="K271" s="647"/>
      <c r="L271" s="647"/>
      <c r="M271" s="647"/>
      <c r="N271" s="647"/>
      <c r="O271" s="647"/>
      <c r="P271" s="647"/>
      <c r="Q271" s="647"/>
      <c r="R271" s="647"/>
      <c r="S271" s="647"/>
      <c r="T271" s="647"/>
      <c r="U271" s="647"/>
      <c r="V271" s="647"/>
      <c r="W271" s="647"/>
      <c r="X271" s="647"/>
      <c r="Y271" s="647"/>
      <c r="Z271" s="647"/>
      <c r="AA271" s="647"/>
      <c r="AB271" s="647"/>
      <c r="AC271" s="647"/>
      <c r="AD271" s="647"/>
      <c r="AE271" s="647"/>
      <c r="AF271" s="647"/>
      <c r="AG271" s="647"/>
      <c r="AH271" s="647"/>
      <c r="AI271" s="647"/>
      <c r="AJ271" s="647"/>
      <c r="AK271" s="647"/>
      <c r="AL271" s="647"/>
      <c r="AM271" s="647"/>
      <c r="AN271" s="729"/>
      <c r="AO271" s="729"/>
      <c r="AP271" s="729"/>
      <c r="AQ271" s="729"/>
      <c r="AR271" s="729"/>
      <c r="AS271" s="729"/>
      <c r="AT271" s="729"/>
      <c r="AU271" s="729"/>
      <c r="AV271" s="729"/>
      <c r="AW271" s="729"/>
      <c r="AX271" s="729"/>
      <c r="AY271" s="729"/>
      <c r="AZ271" s="729"/>
      <c r="BA271" s="729"/>
      <c r="BB271" s="729"/>
      <c r="BC271" s="729"/>
      <c r="BD271" s="729"/>
      <c r="BE271" s="729"/>
      <c r="BF271" s="729"/>
      <c r="BG271" s="729"/>
      <c r="BH271" s="729"/>
      <c r="BI271" s="729"/>
      <c r="BJ271" s="729"/>
      <c r="BK271" s="729"/>
      <c r="BL271" s="729"/>
      <c r="BM271" s="729"/>
      <c r="BN271" s="729"/>
      <c r="BO271" s="729"/>
      <c r="BP271" s="729"/>
      <c r="BQ271" s="729"/>
      <c r="BR271" s="729"/>
      <c r="BS271" s="729"/>
      <c r="BT271" s="729"/>
      <c r="BU271" s="729"/>
      <c r="BV271" s="729"/>
      <c r="BW271" s="729"/>
      <c r="BX271" s="729"/>
      <c r="BY271" s="729"/>
      <c r="BZ271" s="729"/>
      <c r="CA271" s="729"/>
      <c r="CB271" s="729"/>
      <c r="CC271" s="729"/>
      <c r="CD271" s="729"/>
      <c r="CE271" s="729"/>
      <c r="CF271" s="729"/>
      <c r="CG271" s="729"/>
      <c r="CH271" s="729"/>
      <c r="CI271" s="729"/>
      <c r="CJ271" s="729"/>
      <c r="CK271" s="729"/>
      <c r="CL271" s="729"/>
      <c r="CM271" s="729"/>
      <c r="CN271" s="729"/>
    </row>
    <row r="272" spans="1:92">
      <c r="A272" s="646" t="s">
        <v>1001</v>
      </c>
      <c r="B272" s="647"/>
      <c r="C272" s="647"/>
      <c r="D272" s="647"/>
      <c r="F272" s="647"/>
      <c r="G272" s="647"/>
      <c r="H272" s="647"/>
      <c r="I272" s="647"/>
      <c r="J272" s="647"/>
      <c r="K272" s="647"/>
      <c r="L272" s="647"/>
      <c r="M272" s="647"/>
      <c r="N272" s="647"/>
      <c r="O272" s="647"/>
      <c r="P272" s="647"/>
      <c r="Q272" s="647"/>
      <c r="R272" s="647"/>
      <c r="S272" s="647"/>
      <c r="T272" s="647"/>
      <c r="U272" s="647"/>
      <c r="V272" s="647"/>
      <c r="W272" s="647"/>
      <c r="X272" s="647"/>
      <c r="Y272" s="647"/>
      <c r="Z272" s="647"/>
      <c r="AA272" s="647"/>
      <c r="AB272" s="647"/>
      <c r="AC272" s="647"/>
      <c r="AD272" s="647"/>
      <c r="AE272" s="647"/>
      <c r="AF272" s="647"/>
      <c r="AG272" s="647"/>
      <c r="AH272" s="647"/>
      <c r="AI272" s="647"/>
      <c r="AJ272" s="647"/>
      <c r="AK272" s="647"/>
      <c r="AL272" s="647"/>
      <c r="AM272" s="647"/>
      <c r="AN272" s="647"/>
      <c r="AO272" s="647"/>
      <c r="AP272" s="647"/>
      <c r="AQ272" s="647"/>
      <c r="AR272" s="647"/>
      <c r="AS272" s="647"/>
      <c r="AT272" s="647"/>
      <c r="AU272" s="647"/>
      <c r="AV272" s="647"/>
      <c r="AW272" s="647"/>
      <c r="AX272" s="647"/>
      <c r="AY272" s="647"/>
      <c r="AZ272" s="647"/>
      <c r="BA272" s="647"/>
      <c r="BB272" s="647"/>
      <c r="BC272" s="647"/>
      <c r="BD272" s="647"/>
      <c r="BE272" s="647"/>
      <c r="BF272" s="647"/>
      <c r="BG272" s="647"/>
      <c r="BH272" s="647"/>
      <c r="BI272" s="647"/>
      <c r="BJ272" s="647"/>
      <c r="BK272" s="647"/>
      <c r="BL272" s="647"/>
      <c r="BM272" s="647"/>
      <c r="BN272" s="647"/>
      <c r="BO272" s="647"/>
      <c r="BP272" s="647"/>
      <c r="BQ272" s="647"/>
      <c r="BR272" s="647"/>
      <c r="BS272" s="647"/>
      <c r="BT272" s="647"/>
      <c r="BU272" s="647"/>
      <c r="BV272" s="647"/>
      <c r="BW272" s="647"/>
      <c r="BX272" s="647"/>
      <c r="BY272" s="647"/>
      <c r="BZ272" s="647"/>
      <c r="CA272" s="647"/>
      <c r="CB272" s="647"/>
      <c r="CC272" s="647"/>
      <c r="CD272" s="647"/>
      <c r="CE272" s="647"/>
      <c r="CF272" s="647"/>
      <c r="CG272" s="647"/>
      <c r="CH272" s="647"/>
      <c r="CI272" s="647"/>
      <c r="CJ272" s="647"/>
      <c r="CK272" s="647"/>
      <c r="CL272" s="647"/>
      <c r="CM272" s="647"/>
      <c r="CN272" s="647"/>
    </row>
    <row r="273" spans="1:92">
      <c r="A273" s="647"/>
      <c r="B273" s="646" t="s">
        <v>1133</v>
      </c>
      <c r="C273" s="647"/>
      <c r="D273" s="647"/>
      <c r="F273" s="647"/>
      <c r="G273" s="647"/>
      <c r="H273" s="647"/>
      <c r="I273" s="647"/>
      <c r="J273" s="647"/>
      <c r="K273" s="647"/>
      <c r="L273" s="647"/>
      <c r="M273" s="647"/>
      <c r="N273" s="647"/>
      <c r="O273" s="647"/>
      <c r="P273" s="647"/>
      <c r="Q273" s="647"/>
      <c r="R273" s="647"/>
      <c r="S273" s="647"/>
      <c r="T273" s="647"/>
      <c r="U273" s="647"/>
      <c r="V273" s="647"/>
      <c r="W273" s="647"/>
      <c r="X273" s="647"/>
      <c r="Y273" s="647"/>
      <c r="Z273" s="647"/>
      <c r="AA273" s="647"/>
      <c r="AB273" s="647"/>
      <c r="AC273" s="647"/>
      <c r="AD273" s="647"/>
      <c r="AE273" s="647"/>
      <c r="AF273" s="647"/>
      <c r="AG273" s="647"/>
      <c r="AH273" s="647"/>
      <c r="AI273" s="647"/>
      <c r="AJ273" s="647"/>
      <c r="AK273" s="647"/>
      <c r="AL273" s="647"/>
      <c r="AM273" s="647"/>
      <c r="AN273" s="647"/>
      <c r="AO273" s="647"/>
      <c r="AP273" s="647"/>
      <c r="AQ273" s="647"/>
      <c r="AR273" s="647"/>
      <c r="AS273" s="647"/>
      <c r="AT273" s="647"/>
      <c r="AU273" s="647"/>
      <c r="AV273" s="647"/>
      <c r="AW273" s="647"/>
      <c r="AX273" s="647"/>
      <c r="AY273" s="647"/>
      <c r="AZ273" s="647"/>
      <c r="BA273" s="647"/>
      <c r="BB273" s="647"/>
      <c r="BC273" s="647"/>
      <c r="BD273" s="647"/>
      <c r="BE273" s="647"/>
      <c r="BF273" s="647"/>
      <c r="BG273" s="647"/>
      <c r="BH273" s="647"/>
      <c r="BI273" s="647"/>
      <c r="BJ273" s="647"/>
      <c r="BK273" s="647"/>
      <c r="BL273" s="647"/>
      <c r="BM273" s="647"/>
      <c r="BN273" s="647"/>
      <c r="BO273" s="647"/>
      <c r="BP273" s="647"/>
      <c r="BQ273" s="647"/>
      <c r="BR273" s="647"/>
      <c r="BS273" s="647"/>
      <c r="BT273" s="647"/>
      <c r="BU273" s="647"/>
      <c r="BV273" s="647"/>
      <c r="BW273" s="647"/>
      <c r="BX273" s="647"/>
      <c r="BY273" s="647"/>
      <c r="BZ273" s="647"/>
      <c r="CA273" s="647"/>
      <c r="CB273" s="647"/>
      <c r="CC273" s="647"/>
      <c r="CD273" s="647"/>
      <c r="CE273" s="647"/>
      <c r="CF273" s="647"/>
      <c r="CG273" s="647"/>
      <c r="CH273" s="647"/>
      <c r="CI273" s="647"/>
      <c r="CJ273" s="647"/>
      <c r="CK273" s="647"/>
      <c r="CL273" s="647"/>
      <c r="CM273" s="647"/>
      <c r="CN273" s="647"/>
    </row>
    <row r="274" spans="1:92">
      <c r="A274" s="647"/>
      <c r="B274" s="647"/>
      <c r="C274" s="647"/>
      <c r="D274" s="647"/>
      <c r="E274" s="649"/>
      <c r="F274" s="647"/>
      <c r="G274" s="647"/>
      <c r="H274" s="647"/>
      <c r="I274" s="647"/>
      <c r="J274" s="647"/>
      <c r="K274" s="647"/>
      <c r="L274" s="647"/>
      <c r="M274" s="647"/>
      <c r="N274" s="647"/>
      <c r="O274" s="647"/>
      <c r="P274" s="647"/>
      <c r="Q274" s="647"/>
      <c r="R274" s="647"/>
      <c r="S274" s="647"/>
      <c r="T274" s="647"/>
      <c r="U274" s="647"/>
      <c r="V274" s="647"/>
      <c r="W274" s="647"/>
      <c r="X274" s="647"/>
      <c r="Y274" s="647"/>
      <c r="Z274" s="647"/>
      <c r="AA274" s="647"/>
      <c r="AB274" s="647"/>
      <c r="AC274" s="647"/>
      <c r="AD274" s="647"/>
      <c r="AE274" s="647"/>
      <c r="AF274" s="647"/>
      <c r="AG274" s="647"/>
      <c r="AH274" s="647"/>
      <c r="AI274" s="647"/>
      <c r="AJ274" s="647"/>
      <c r="AK274" s="647"/>
      <c r="AL274" s="647"/>
      <c r="AM274" s="647"/>
      <c r="AN274" s="647"/>
      <c r="AO274" s="647"/>
      <c r="AP274" s="647"/>
      <c r="AQ274" s="647"/>
      <c r="AR274" s="647"/>
      <c r="AS274" s="647"/>
      <c r="AT274" s="647"/>
      <c r="AU274" s="647"/>
      <c r="AV274" s="647"/>
      <c r="AW274" s="647"/>
      <c r="AX274" s="647"/>
      <c r="AY274" s="647"/>
      <c r="AZ274" s="647"/>
      <c r="BA274" s="647"/>
      <c r="BB274" s="647"/>
      <c r="BC274" s="647"/>
      <c r="BD274" s="647"/>
      <c r="BE274" s="647"/>
      <c r="BF274" s="647"/>
      <c r="BG274" s="647"/>
      <c r="BH274" s="647"/>
      <c r="BI274" s="647"/>
      <c r="BJ274" s="647"/>
      <c r="BK274" s="647"/>
      <c r="BL274" s="647"/>
      <c r="BM274" s="647"/>
      <c r="BN274" s="647"/>
      <c r="BO274" s="647"/>
      <c r="BP274" s="647"/>
      <c r="BQ274" s="647"/>
      <c r="BR274" s="647"/>
      <c r="BS274" s="647"/>
      <c r="BT274" s="647"/>
      <c r="BU274" s="647"/>
      <c r="BV274" s="647"/>
      <c r="BW274" s="647"/>
      <c r="BX274" s="647"/>
      <c r="BY274" s="647"/>
      <c r="BZ274" s="647"/>
      <c r="CA274" s="647"/>
      <c r="CB274" s="647"/>
      <c r="CC274" s="647"/>
      <c r="CD274" s="647"/>
      <c r="CE274" s="647"/>
      <c r="CF274" s="647"/>
      <c r="CG274" s="647"/>
      <c r="CH274" s="647"/>
      <c r="CI274" s="647"/>
      <c r="CJ274" s="647"/>
      <c r="CK274" s="647"/>
      <c r="CL274" s="647"/>
      <c r="CM274" s="647"/>
      <c r="CN274" s="647"/>
    </row>
    <row r="275" spans="1:92" ht="24">
      <c r="A275" s="647"/>
      <c r="B275" s="661" t="s">
        <v>99</v>
      </c>
      <c r="C275" s="661" t="s">
        <v>65</v>
      </c>
      <c r="D275" s="661" t="s">
        <v>2</v>
      </c>
      <c r="E275" s="662" t="s">
        <v>2</v>
      </c>
      <c r="F275" s="647"/>
      <c r="G275" s="647"/>
      <c r="H275" s="647"/>
      <c r="I275" s="647"/>
      <c r="J275" s="647"/>
      <c r="K275" s="647"/>
      <c r="L275" s="647"/>
      <c r="M275" s="647"/>
      <c r="N275" s="647"/>
      <c r="O275" s="647"/>
      <c r="P275" s="647"/>
      <c r="Q275" s="647"/>
      <c r="R275" s="647"/>
      <c r="S275" s="647"/>
      <c r="T275" s="647"/>
      <c r="U275" s="647"/>
      <c r="V275" s="647"/>
      <c r="W275" s="647"/>
      <c r="X275" s="647"/>
      <c r="Y275" s="647"/>
      <c r="Z275" s="647"/>
      <c r="AA275" s="647"/>
      <c r="AB275" s="647"/>
      <c r="AC275" s="647"/>
      <c r="AD275" s="647"/>
      <c r="AE275" s="647"/>
      <c r="AF275" s="647"/>
      <c r="AG275" s="647"/>
      <c r="AH275" s="647"/>
      <c r="AI275" s="647"/>
      <c r="AJ275" s="647"/>
      <c r="AK275" s="647"/>
      <c r="AL275" s="647"/>
      <c r="AM275" s="647"/>
      <c r="AN275" s="647"/>
      <c r="AO275" s="647"/>
      <c r="AP275" s="647"/>
      <c r="AQ275" s="647"/>
      <c r="AR275" s="647"/>
      <c r="AS275" s="647"/>
      <c r="AT275" s="647"/>
      <c r="AU275" s="647"/>
      <c r="AV275" s="647"/>
      <c r="AW275" s="647"/>
      <c r="AX275" s="647"/>
      <c r="AY275" s="647"/>
      <c r="AZ275" s="647"/>
      <c r="BA275" s="647"/>
      <c r="BB275" s="647"/>
      <c r="BC275" s="647"/>
      <c r="BD275" s="647"/>
      <c r="BE275" s="647"/>
      <c r="BF275" s="647"/>
      <c r="BG275" s="647"/>
      <c r="BH275" s="647"/>
      <c r="BI275" s="647"/>
      <c r="BJ275" s="647"/>
      <c r="BK275" s="647"/>
      <c r="BL275" s="647"/>
      <c r="BM275" s="647"/>
      <c r="BN275" s="647"/>
      <c r="BO275" s="647"/>
      <c r="BP275" s="647"/>
      <c r="BQ275" s="647"/>
      <c r="BR275" s="647"/>
      <c r="BS275" s="647"/>
      <c r="BT275" s="647"/>
      <c r="BU275" s="647"/>
      <c r="BV275" s="647"/>
      <c r="BW275" s="647"/>
      <c r="BX275" s="647"/>
      <c r="BY275" s="647"/>
      <c r="BZ275" s="647"/>
      <c r="CA275" s="647"/>
      <c r="CB275" s="647"/>
      <c r="CC275" s="647"/>
      <c r="CD275" s="647"/>
      <c r="CE275" s="647"/>
      <c r="CF275" s="647"/>
      <c r="CG275" s="647"/>
      <c r="CH275" s="647"/>
      <c r="CI275" s="647"/>
      <c r="CJ275" s="647"/>
      <c r="CK275" s="647"/>
      <c r="CL275" s="647"/>
      <c r="CM275" s="647"/>
      <c r="CN275" s="647"/>
    </row>
    <row r="276" spans="1:92">
      <c r="A276" s="647"/>
      <c r="B276" s="663" t="s">
        <v>1003</v>
      </c>
      <c r="C276" s="663"/>
      <c r="D276" s="664">
        <v>0</v>
      </c>
      <c r="E276" s="665">
        <v>0</v>
      </c>
      <c r="F276" s="647"/>
      <c r="G276" s="647"/>
      <c r="H276" s="647"/>
      <c r="I276" s="647"/>
      <c r="J276" s="647"/>
      <c r="K276" s="647"/>
      <c r="L276" s="647"/>
      <c r="M276" s="647"/>
      <c r="N276" s="647"/>
      <c r="O276" s="647"/>
      <c r="P276" s="647"/>
      <c r="Q276" s="647"/>
      <c r="R276" s="647"/>
      <c r="S276" s="647"/>
      <c r="T276" s="647"/>
      <c r="U276" s="647"/>
      <c r="V276" s="647"/>
      <c r="W276" s="647"/>
      <c r="X276" s="647"/>
      <c r="Y276" s="647"/>
      <c r="Z276" s="647"/>
      <c r="AA276" s="647"/>
      <c r="AB276" s="647"/>
      <c r="AC276" s="647"/>
      <c r="AD276" s="647"/>
      <c r="AE276" s="647"/>
      <c r="AF276" s="647"/>
      <c r="AG276" s="647"/>
      <c r="AH276" s="647"/>
      <c r="AI276" s="647"/>
      <c r="AJ276" s="647"/>
      <c r="AK276" s="647"/>
      <c r="AL276" s="647"/>
      <c r="AM276" s="647"/>
      <c r="AN276" s="647"/>
      <c r="AO276" s="647"/>
      <c r="AP276" s="647"/>
      <c r="AQ276" s="647"/>
      <c r="AR276" s="647"/>
      <c r="AS276" s="647"/>
      <c r="AT276" s="647"/>
      <c r="AU276" s="647"/>
      <c r="AV276" s="647"/>
      <c r="AW276" s="647"/>
      <c r="AX276" s="647"/>
      <c r="AY276" s="647"/>
      <c r="AZ276" s="647"/>
      <c r="BA276" s="647"/>
      <c r="BB276" s="647"/>
      <c r="BC276" s="647"/>
      <c r="BD276" s="647"/>
      <c r="BE276" s="647"/>
      <c r="BF276" s="647"/>
      <c r="BG276" s="647"/>
      <c r="BH276" s="647"/>
      <c r="BI276" s="647"/>
      <c r="BJ276" s="647"/>
      <c r="BK276" s="647"/>
      <c r="BL276" s="647"/>
      <c r="BM276" s="647"/>
      <c r="BN276" s="647"/>
      <c r="BO276" s="647"/>
      <c r="BP276" s="647"/>
      <c r="BQ276" s="647"/>
      <c r="BR276" s="647"/>
      <c r="BS276" s="647"/>
      <c r="BT276" s="647"/>
      <c r="BU276" s="647"/>
      <c r="BV276" s="647"/>
      <c r="BW276" s="647"/>
      <c r="BX276" s="647"/>
      <c r="BY276" s="647"/>
      <c r="BZ276" s="647"/>
      <c r="CA276" s="647"/>
      <c r="CB276" s="647"/>
      <c r="CC276" s="647"/>
      <c r="CD276" s="647"/>
      <c r="CE276" s="647"/>
      <c r="CF276" s="647"/>
      <c r="CG276" s="647"/>
      <c r="CH276" s="647"/>
      <c r="CI276" s="647"/>
      <c r="CJ276" s="647"/>
      <c r="CK276" s="647"/>
      <c r="CL276" s="647"/>
      <c r="CM276" s="647"/>
      <c r="CN276" s="647"/>
    </row>
    <row r="277" spans="1:92">
      <c r="A277" s="647"/>
      <c r="B277" s="663" t="s">
        <v>1006</v>
      </c>
      <c r="C277" s="666" t="s">
        <v>95</v>
      </c>
      <c r="D277" s="664">
        <v>0</v>
      </c>
      <c r="E277" s="665">
        <v>0</v>
      </c>
      <c r="F277" s="647"/>
      <c r="G277" s="647"/>
      <c r="H277" s="647"/>
      <c r="I277" s="647"/>
      <c r="J277" s="647"/>
      <c r="K277" s="647"/>
      <c r="L277" s="647"/>
      <c r="M277" s="647"/>
      <c r="N277" s="647"/>
      <c r="O277" s="647"/>
      <c r="P277" s="647"/>
      <c r="Q277" s="647"/>
      <c r="R277" s="647"/>
      <c r="S277" s="647"/>
      <c r="T277" s="647"/>
      <c r="U277" s="647"/>
      <c r="V277" s="647"/>
      <c r="W277" s="647"/>
      <c r="X277" s="647"/>
      <c r="Y277" s="647"/>
      <c r="Z277" s="647"/>
      <c r="AA277" s="647"/>
      <c r="AB277" s="647"/>
      <c r="AC277" s="647"/>
      <c r="AD277" s="647"/>
      <c r="AE277" s="647"/>
      <c r="AF277" s="647"/>
      <c r="AG277" s="647"/>
      <c r="AH277" s="647"/>
      <c r="AI277" s="647"/>
      <c r="AJ277" s="647"/>
      <c r="AK277" s="647"/>
      <c r="AL277" s="647"/>
      <c r="AM277" s="647"/>
      <c r="AN277" s="647"/>
      <c r="AO277" s="647"/>
      <c r="AP277" s="647"/>
      <c r="AQ277" s="647"/>
      <c r="AR277" s="647"/>
      <c r="AS277" s="647"/>
      <c r="AT277" s="647"/>
      <c r="AU277" s="647"/>
      <c r="AV277" s="647"/>
      <c r="AW277" s="647"/>
      <c r="AX277" s="647"/>
      <c r="AY277" s="647"/>
      <c r="AZ277" s="647"/>
      <c r="BA277" s="647"/>
      <c r="BB277" s="647"/>
      <c r="BC277" s="647"/>
      <c r="BD277" s="647"/>
      <c r="BE277" s="647"/>
      <c r="BF277" s="647"/>
      <c r="BG277" s="647"/>
      <c r="BH277" s="647"/>
      <c r="BI277" s="647"/>
      <c r="BJ277" s="647"/>
      <c r="BK277" s="647"/>
      <c r="BL277" s="647"/>
      <c r="BM277" s="647"/>
      <c r="BN277" s="647"/>
      <c r="BO277" s="647"/>
      <c r="BP277" s="647"/>
      <c r="BQ277" s="647"/>
      <c r="BR277" s="647"/>
      <c r="BS277" s="647"/>
      <c r="BT277" s="647"/>
      <c r="BU277" s="647"/>
      <c r="BV277" s="647"/>
      <c r="BW277" s="647"/>
      <c r="BX277" s="647"/>
      <c r="BY277" s="647"/>
      <c r="BZ277" s="647"/>
      <c r="CA277" s="647"/>
      <c r="CB277" s="647"/>
      <c r="CC277" s="647"/>
      <c r="CD277" s="647"/>
      <c r="CE277" s="647"/>
      <c r="CF277" s="647"/>
      <c r="CG277" s="647"/>
      <c r="CH277" s="647"/>
      <c r="CI277" s="647"/>
      <c r="CJ277" s="647"/>
      <c r="CK277" s="647"/>
      <c r="CL277" s="647"/>
      <c r="CM277" s="647"/>
      <c r="CN277" s="647"/>
    </row>
    <row r="278" spans="1:92" ht="16.149999999999999" customHeight="1">
      <c r="A278" s="647" t="s">
        <v>1007</v>
      </c>
      <c r="B278" s="647" t="s">
        <v>1007</v>
      </c>
      <c r="C278" s="647" t="s">
        <v>1007</v>
      </c>
      <c r="D278" s="647" t="s">
        <v>1007</v>
      </c>
      <c r="F278" s="647"/>
      <c r="G278" s="647"/>
      <c r="H278" s="647"/>
      <c r="I278" s="647"/>
      <c r="J278" s="647"/>
      <c r="K278" s="647"/>
      <c r="L278" s="647"/>
      <c r="M278" s="647"/>
      <c r="N278" s="647"/>
      <c r="O278" s="647"/>
      <c r="P278" s="647"/>
      <c r="Q278" s="647"/>
      <c r="R278" s="647"/>
      <c r="S278" s="647"/>
      <c r="T278" s="647"/>
      <c r="U278" s="647"/>
      <c r="V278" s="647"/>
      <c r="W278" s="647"/>
      <c r="X278" s="647"/>
      <c r="Y278" s="647"/>
      <c r="Z278" s="647"/>
      <c r="AA278" s="647"/>
      <c r="AB278" s="647"/>
      <c r="AC278" s="647"/>
      <c r="AD278" s="647"/>
      <c r="AE278" s="647"/>
      <c r="AF278" s="647"/>
      <c r="AG278" s="647"/>
      <c r="AH278" s="647"/>
      <c r="AI278" s="647"/>
      <c r="AJ278" s="647"/>
      <c r="AK278" s="647"/>
      <c r="AL278" s="647"/>
      <c r="AM278" s="647"/>
      <c r="AN278" s="729"/>
      <c r="AO278" s="729"/>
      <c r="AP278" s="729"/>
      <c r="AQ278" s="729"/>
      <c r="AR278" s="729"/>
      <c r="AS278" s="729"/>
      <c r="AT278" s="729"/>
      <c r="AU278" s="729"/>
      <c r="AV278" s="729"/>
      <c r="AW278" s="729"/>
      <c r="AX278" s="729"/>
      <c r="AY278" s="729"/>
      <c r="AZ278" s="729"/>
      <c r="BA278" s="729"/>
      <c r="BB278" s="729"/>
      <c r="BC278" s="729"/>
      <c r="BD278" s="729"/>
      <c r="BE278" s="729"/>
      <c r="BF278" s="729"/>
      <c r="BG278" s="729"/>
      <c r="BH278" s="729"/>
      <c r="BI278" s="729"/>
      <c r="BJ278" s="729"/>
      <c r="BK278" s="729"/>
      <c r="BL278" s="729"/>
      <c r="BM278" s="729"/>
      <c r="BN278" s="729"/>
      <c r="BO278" s="729"/>
      <c r="BP278" s="729"/>
      <c r="BQ278" s="729"/>
      <c r="BR278" s="729"/>
      <c r="BS278" s="729"/>
      <c r="BT278" s="729"/>
      <c r="BU278" s="729"/>
      <c r="BV278" s="729"/>
      <c r="BW278" s="729"/>
      <c r="BX278" s="729"/>
      <c r="BY278" s="729"/>
      <c r="BZ278" s="729"/>
      <c r="CA278" s="729"/>
      <c r="CB278" s="729"/>
      <c r="CC278" s="729"/>
      <c r="CD278" s="729"/>
      <c r="CE278" s="729"/>
      <c r="CF278" s="729"/>
      <c r="CG278" s="729"/>
      <c r="CH278" s="729"/>
      <c r="CI278" s="729"/>
      <c r="CJ278" s="729"/>
      <c r="CK278" s="729"/>
      <c r="CL278" s="729"/>
      <c r="CM278" s="729"/>
      <c r="CN278" s="729"/>
    </row>
    <row r="279" spans="1:92">
      <c r="A279" s="646" t="s">
        <v>1001</v>
      </c>
      <c r="B279" s="647"/>
      <c r="C279" s="647"/>
      <c r="D279" s="647"/>
      <c r="F279" s="647"/>
      <c r="G279" s="647"/>
      <c r="H279" s="647"/>
      <c r="I279" s="647"/>
      <c r="J279" s="647"/>
      <c r="K279" s="647"/>
      <c r="L279" s="647"/>
      <c r="M279" s="647"/>
      <c r="N279" s="647"/>
      <c r="O279" s="647"/>
      <c r="P279" s="647"/>
      <c r="Q279" s="647"/>
      <c r="R279" s="647"/>
      <c r="S279" s="647"/>
      <c r="T279" s="647"/>
      <c r="U279" s="647"/>
      <c r="V279" s="647"/>
      <c r="W279" s="647"/>
      <c r="X279" s="647"/>
      <c r="Y279" s="647"/>
      <c r="Z279" s="647"/>
      <c r="AA279" s="647"/>
      <c r="AB279" s="647"/>
      <c r="AC279" s="647"/>
      <c r="AD279" s="647"/>
      <c r="AE279" s="647"/>
      <c r="AF279" s="647"/>
      <c r="AG279" s="647"/>
      <c r="AH279" s="647"/>
      <c r="AI279" s="647"/>
      <c r="AJ279" s="647"/>
      <c r="AK279" s="647"/>
      <c r="AL279" s="647"/>
      <c r="AM279" s="647"/>
      <c r="AN279" s="647"/>
      <c r="AO279" s="647"/>
      <c r="AP279" s="647"/>
      <c r="AQ279" s="647"/>
      <c r="AR279" s="647"/>
      <c r="AS279" s="647"/>
      <c r="AT279" s="647"/>
      <c r="AU279" s="647"/>
      <c r="AV279" s="647"/>
      <c r="AW279" s="647"/>
      <c r="AX279" s="647"/>
      <c r="AY279" s="647"/>
      <c r="AZ279" s="647"/>
      <c r="BA279" s="647"/>
      <c r="BB279" s="647"/>
      <c r="BC279" s="647"/>
      <c r="BD279" s="647"/>
      <c r="BE279" s="647"/>
      <c r="BF279" s="647"/>
      <c r="BG279" s="647"/>
      <c r="BH279" s="647"/>
      <c r="BI279" s="647"/>
      <c r="BJ279" s="647"/>
      <c r="BK279" s="647"/>
      <c r="BL279" s="647"/>
      <c r="BM279" s="647"/>
      <c r="BN279" s="647"/>
      <c r="BO279" s="647"/>
      <c r="BP279" s="647"/>
      <c r="BQ279" s="647"/>
      <c r="BR279" s="647"/>
      <c r="BS279" s="647"/>
      <c r="BT279" s="647"/>
      <c r="BU279" s="647"/>
      <c r="BV279" s="647"/>
      <c r="BW279" s="647"/>
      <c r="BX279" s="647"/>
      <c r="BY279" s="647"/>
      <c r="BZ279" s="647"/>
      <c r="CA279" s="647"/>
      <c r="CB279" s="647"/>
      <c r="CC279" s="647"/>
      <c r="CD279" s="647"/>
      <c r="CE279" s="647"/>
      <c r="CF279" s="647"/>
      <c r="CG279" s="647"/>
      <c r="CH279" s="647"/>
      <c r="CI279" s="647"/>
      <c r="CJ279" s="647"/>
      <c r="CK279" s="647"/>
      <c r="CL279" s="647"/>
      <c r="CM279" s="647"/>
      <c r="CN279" s="647"/>
    </row>
    <row r="280" spans="1:92">
      <c r="A280" s="647"/>
      <c r="B280" s="646" t="s">
        <v>1134</v>
      </c>
      <c r="C280" s="647"/>
      <c r="D280" s="647"/>
      <c r="F280" s="647"/>
      <c r="G280" s="647"/>
      <c r="H280" s="647"/>
      <c r="I280" s="647"/>
      <c r="J280" s="647"/>
      <c r="K280" s="647"/>
      <c r="L280" s="647"/>
      <c r="M280" s="647"/>
      <c r="N280" s="647"/>
      <c r="O280" s="647"/>
      <c r="P280" s="647"/>
      <c r="Q280" s="647"/>
      <c r="R280" s="647"/>
      <c r="S280" s="647"/>
      <c r="T280" s="647"/>
      <c r="U280" s="647"/>
      <c r="V280" s="647"/>
      <c r="W280" s="647"/>
      <c r="X280" s="647"/>
      <c r="Y280" s="647"/>
      <c r="Z280" s="647"/>
      <c r="AA280" s="647"/>
      <c r="AB280" s="647"/>
      <c r="AC280" s="647"/>
      <c r="AD280" s="647"/>
      <c r="AE280" s="647"/>
      <c r="AF280" s="647"/>
      <c r="AG280" s="647"/>
      <c r="AH280" s="647"/>
      <c r="AI280" s="647"/>
      <c r="AJ280" s="647"/>
      <c r="AK280" s="647"/>
      <c r="AL280" s="647"/>
      <c r="AM280" s="647"/>
      <c r="AN280" s="647"/>
      <c r="AO280" s="647"/>
      <c r="AP280" s="647"/>
      <c r="AQ280" s="647"/>
      <c r="AR280" s="647"/>
      <c r="AS280" s="647"/>
      <c r="AT280" s="647"/>
      <c r="AU280" s="647"/>
      <c r="AV280" s="647"/>
      <c r="AW280" s="647"/>
      <c r="AX280" s="647"/>
      <c r="AY280" s="647"/>
      <c r="AZ280" s="647"/>
      <c r="BA280" s="647"/>
      <c r="BB280" s="647"/>
      <c r="BC280" s="647"/>
      <c r="BD280" s="647"/>
      <c r="BE280" s="647"/>
      <c r="BF280" s="647"/>
      <c r="BG280" s="647"/>
      <c r="BH280" s="647"/>
      <c r="BI280" s="647"/>
      <c r="BJ280" s="647"/>
      <c r="BK280" s="647"/>
      <c r="BL280" s="647"/>
      <c r="BM280" s="647"/>
      <c r="BN280" s="647"/>
      <c r="BO280" s="647"/>
      <c r="BP280" s="647"/>
      <c r="BQ280" s="647"/>
      <c r="BR280" s="647"/>
      <c r="BS280" s="647"/>
      <c r="BT280" s="647"/>
      <c r="BU280" s="647"/>
      <c r="BV280" s="647"/>
      <c r="BW280" s="647"/>
      <c r="BX280" s="647"/>
      <c r="BY280" s="647"/>
      <c r="BZ280" s="647"/>
      <c r="CA280" s="647"/>
      <c r="CB280" s="647"/>
      <c r="CC280" s="647"/>
      <c r="CD280" s="647"/>
      <c r="CE280" s="647"/>
      <c r="CF280" s="647"/>
      <c r="CG280" s="647"/>
      <c r="CH280" s="647"/>
      <c r="CI280" s="647"/>
      <c r="CJ280" s="647"/>
      <c r="CK280" s="647"/>
      <c r="CL280" s="647"/>
      <c r="CM280" s="647"/>
      <c r="CN280" s="647"/>
    </row>
    <row r="281" spans="1:92">
      <c r="A281" s="647"/>
      <c r="B281" s="647"/>
      <c r="C281" s="647"/>
      <c r="D281" s="647"/>
      <c r="E281" s="649"/>
      <c r="F281" s="647"/>
      <c r="G281" s="647"/>
      <c r="H281" s="647"/>
      <c r="I281" s="647"/>
      <c r="J281" s="647"/>
      <c r="K281" s="647"/>
      <c r="L281" s="647"/>
      <c r="M281" s="647"/>
      <c r="N281" s="647"/>
      <c r="O281" s="647"/>
      <c r="P281" s="647"/>
      <c r="Q281" s="647"/>
      <c r="R281" s="647"/>
      <c r="S281" s="647"/>
      <c r="T281" s="647"/>
      <c r="U281" s="647"/>
      <c r="V281" s="647"/>
      <c r="W281" s="647"/>
      <c r="X281" s="647"/>
      <c r="Y281" s="647"/>
      <c r="Z281" s="647"/>
      <c r="AA281" s="647"/>
      <c r="AB281" s="647"/>
      <c r="AC281" s="647"/>
      <c r="AD281" s="647"/>
      <c r="AE281" s="647"/>
      <c r="AF281" s="647"/>
      <c r="AG281" s="647"/>
      <c r="AH281" s="647"/>
      <c r="AI281" s="647"/>
      <c r="AJ281" s="647"/>
      <c r="AK281" s="647"/>
      <c r="AL281" s="647"/>
      <c r="AM281" s="647"/>
      <c r="AN281" s="647"/>
      <c r="AO281" s="647"/>
      <c r="AP281" s="647"/>
      <c r="AQ281" s="647"/>
      <c r="AR281" s="647"/>
      <c r="AS281" s="647"/>
      <c r="AT281" s="647"/>
      <c r="AU281" s="647"/>
      <c r="AV281" s="647"/>
      <c r="AW281" s="647"/>
      <c r="AX281" s="647"/>
      <c r="AY281" s="647"/>
      <c r="AZ281" s="647"/>
      <c r="BA281" s="647"/>
      <c r="BB281" s="647"/>
      <c r="BC281" s="647"/>
      <c r="BD281" s="647"/>
      <c r="BE281" s="647"/>
      <c r="BF281" s="647"/>
      <c r="BG281" s="647"/>
      <c r="BH281" s="647"/>
      <c r="BI281" s="647"/>
      <c r="BJ281" s="647"/>
      <c r="BK281" s="647"/>
      <c r="BL281" s="647"/>
      <c r="BM281" s="647"/>
      <c r="BN281" s="647"/>
      <c r="BO281" s="647"/>
      <c r="BP281" s="647"/>
      <c r="BQ281" s="647"/>
      <c r="BR281" s="647"/>
      <c r="BS281" s="647"/>
      <c r="BT281" s="647"/>
      <c r="BU281" s="647"/>
      <c r="BV281" s="647"/>
      <c r="BW281" s="647"/>
      <c r="BX281" s="647"/>
      <c r="BY281" s="647"/>
      <c r="BZ281" s="647"/>
      <c r="CA281" s="647"/>
      <c r="CB281" s="647"/>
      <c r="CC281" s="647"/>
      <c r="CD281" s="647"/>
      <c r="CE281" s="647"/>
      <c r="CF281" s="647"/>
      <c r="CG281" s="647"/>
      <c r="CH281" s="647"/>
      <c r="CI281" s="647"/>
      <c r="CJ281" s="647"/>
      <c r="CK281" s="647"/>
      <c r="CL281" s="647"/>
      <c r="CM281" s="647"/>
      <c r="CN281" s="647"/>
    </row>
    <row r="282" spans="1:92" ht="24">
      <c r="A282" s="647"/>
      <c r="B282" s="661" t="s">
        <v>99</v>
      </c>
      <c r="C282" s="661" t="s">
        <v>65</v>
      </c>
      <c r="D282" s="661" t="s">
        <v>5</v>
      </c>
      <c r="E282" s="678" t="s">
        <v>2</v>
      </c>
      <c r="F282" s="647"/>
      <c r="G282" s="647"/>
      <c r="H282" s="647"/>
      <c r="I282" s="647"/>
      <c r="J282" s="647"/>
      <c r="K282" s="647"/>
      <c r="L282" s="647"/>
      <c r="M282" s="647"/>
      <c r="N282" s="647"/>
      <c r="O282" s="647"/>
      <c r="P282" s="647"/>
      <c r="Q282" s="647"/>
      <c r="R282" s="647"/>
      <c r="S282" s="647"/>
      <c r="T282" s="647"/>
      <c r="U282" s="647"/>
      <c r="V282" s="647"/>
      <c r="W282" s="647"/>
      <c r="X282" s="647"/>
      <c r="Y282" s="647"/>
      <c r="Z282" s="647"/>
      <c r="AA282" s="647"/>
      <c r="AB282" s="647"/>
      <c r="AC282" s="647"/>
      <c r="AD282" s="647"/>
      <c r="AE282" s="647"/>
      <c r="AF282" s="647"/>
      <c r="AG282" s="647"/>
      <c r="AH282" s="647"/>
      <c r="AI282" s="647"/>
      <c r="AJ282" s="647"/>
      <c r="AK282" s="647"/>
      <c r="AL282" s="647"/>
      <c r="AM282" s="647"/>
      <c r="AN282" s="647"/>
      <c r="AO282" s="647"/>
      <c r="AP282" s="647"/>
      <c r="AQ282" s="647"/>
      <c r="AR282" s="647"/>
      <c r="AS282" s="647"/>
      <c r="AT282" s="647"/>
      <c r="AU282" s="647"/>
      <c r="AV282" s="647"/>
      <c r="AW282" s="647"/>
      <c r="AX282" s="647"/>
      <c r="AY282" s="647"/>
      <c r="AZ282" s="647"/>
      <c r="BA282" s="647"/>
      <c r="BB282" s="647"/>
      <c r="BC282" s="647"/>
      <c r="BD282" s="647"/>
      <c r="BE282" s="647"/>
      <c r="BF282" s="647"/>
      <c r="BG282" s="647"/>
      <c r="BH282" s="647"/>
      <c r="BI282" s="647"/>
      <c r="BJ282" s="647"/>
      <c r="BK282" s="647"/>
      <c r="BL282" s="647"/>
      <c r="BM282" s="647"/>
      <c r="BN282" s="647"/>
      <c r="BO282" s="647"/>
      <c r="BP282" s="647"/>
      <c r="BQ282" s="647"/>
      <c r="BR282" s="647"/>
      <c r="BS282" s="647"/>
      <c r="BT282" s="647"/>
      <c r="BU282" s="647"/>
      <c r="BV282" s="647"/>
      <c r="BW282" s="647"/>
      <c r="BX282" s="647"/>
      <c r="BY282" s="647"/>
      <c r="BZ282" s="647"/>
      <c r="CA282" s="647"/>
      <c r="CB282" s="647"/>
      <c r="CC282" s="647"/>
      <c r="CD282" s="647"/>
      <c r="CE282" s="647"/>
      <c r="CF282" s="647"/>
      <c r="CG282" s="647"/>
      <c r="CH282" s="647"/>
      <c r="CI282" s="647"/>
      <c r="CJ282" s="647"/>
      <c r="CK282" s="647"/>
      <c r="CL282" s="647"/>
      <c r="CM282" s="647"/>
      <c r="CN282" s="647"/>
    </row>
    <row r="283" spans="1:92" ht="24">
      <c r="A283" s="647"/>
      <c r="B283" s="663" t="s">
        <v>1027</v>
      </c>
      <c r="C283" s="663" t="s">
        <v>1135</v>
      </c>
      <c r="D283" s="679">
        <v>-130727.81999999999</v>
      </c>
      <c r="E283" s="680"/>
      <c r="F283" s="647"/>
      <c r="G283" s="647"/>
      <c r="H283" s="647"/>
      <c r="I283" s="647"/>
      <c r="J283" s="647"/>
      <c r="K283" s="647"/>
      <c r="L283" s="647"/>
      <c r="M283" s="647"/>
      <c r="N283" s="647"/>
      <c r="O283" s="647"/>
      <c r="P283" s="647"/>
      <c r="Q283" s="647"/>
      <c r="R283" s="647"/>
      <c r="S283" s="647"/>
      <c r="T283" s="647"/>
      <c r="U283" s="647"/>
      <c r="V283" s="647"/>
      <c r="W283" s="647"/>
      <c r="X283" s="647"/>
      <c r="Y283" s="647"/>
      <c r="Z283" s="647"/>
      <c r="AA283" s="647"/>
      <c r="AB283" s="647"/>
      <c r="AC283" s="647"/>
      <c r="AD283" s="647"/>
      <c r="AE283" s="647"/>
      <c r="AF283" s="647"/>
      <c r="AG283" s="647"/>
      <c r="AH283" s="647"/>
      <c r="AI283" s="647"/>
      <c r="AJ283" s="647"/>
      <c r="AK283" s="647"/>
      <c r="AL283" s="647"/>
      <c r="AM283" s="647"/>
      <c r="AN283" s="647"/>
      <c r="AO283" s="647"/>
      <c r="AP283" s="647"/>
      <c r="AQ283" s="647"/>
      <c r="AR283" s="647"/>
      <c r="AS283" s="647"/>
      <c r="AT283" s="647"/>
      <c r="AU283" s="647"/>
      <c r="AV283" s="647"/>
      <c r="AW283" s="647"/>
      <c r="AX283" s="647"/>
      <c r="AY283" s="647"/>
      <c r="AZ283" s="647"/>
      <c r="BA283" s="647"/>
      <c r="BB283" s="647"/>
      <c r="BC283" s="647"/>
      <c r="BD283" s="647"/>
      <c r="BE283" s="647"/>
      <c r="BF283" s="647"/>
      <c r="BG283" s="647"/>
      <c r="BH283" s="647"/>
      <c r="BI283" s="647"/>
      <c r="BJ283" s="647"/>
      <c r="BK283" s="647"/>
      <c r="BL283" s="647"/>
      <c r="BM283" s="647"/>
      <c r="BN283" s="647"/>
      <c r="BO283" s="647"/>
      <c r="BP283" s="647"/>
      <c r="BQ283" s="647"/>
      <c r="BR283" s="647"/>
      <c r="BS283" s="647"/>
      <c r="BT283" s="647"/>
      <c r="BU283" s="647"/>
      <c r="BV283" s="647"/>
      <c r="BW283" s="647"/>
      <c r="BX283" s="647"/>
      <c r="BY283" s="647"/>
      <c r="BZ283" s="647"/>
      <c r="CA283" s="647"/>
      <c r="CB283" s="647"/>
      <c r="CC283" s="647"/>
      <c r="CD283" s="647"/>
      <c r="CE283" s="647"/>
      <c r="CF283" s="647"/>
      <c r="CG283" s="647"/>
      <c r="CH283" s="647"/>
      <c r="CI283" s="647"/>
      <c r="CJ283" s="647"/>
      <c r="CK283" s="647"/>
      <c r="CL283" s="647"/>
      <c r="CM283" s="647"/>
      <c r="CN283" s="647"/>
    </row>
    <row r="284" spans="1:92">
      <c r="A284" s="647"/>
      <c r="B284" s="663" t="s">
        <v>1010</v>
      </c>
      <c r="C284" s="663" t="s">
        <v>1136</v>
      </c>
      <c r="D284" s="679">
        <v>0</v>
      </c>
      <c r="E284" s="680"/>
      <c r="F284" s="647"/>
      <c r="G284" s="647"/>
      <c r="H284" s="647"/>
      <c r="I284" s="647"/>
      <c r="J284" s="647"/>
      <c r="K284" s="647"/>
      <c r="L284" s="647"/>
      <c r="M284" s="647"/>
      <c r="N284" s="647"/>
      <c r="O284" s="647"/>
      <c r="P284" s="647"/>
      <c r="Q284" s="647"/>
      <c r="R284" s="647"/>
      <c r="S284" s="647"/>
      <c r="T284" s="647"/>
      <c r="U284" s="647"/>
      <c r="V284" s="647"/>
      <c r="W284" s="647"/>
      <c r="X284" s="647"/>
      <c r="Y284" s="647"/>
      <c r="Z284" s="647"/>
      <c r="AA284" s="647"/>
      <c r="AB284" s="647"/>
      <c r="AC284" s="647"/>
      <c r="AD284" s="647"/>
      <c r="AE284" s="647"/>
      <c r="AF284" s="647"/>
      <c r="AG284" s="647"/>
      <c r="AH284" s="647"/>
      <c r="AI284" s="647"/>
      <c r="AJ284" s="647"/>
      <c r="AK284" s="647"/>
      <c r="AL284" s="647"/>
      <c r="AM284" s="647"/>
      <c r="AN284" s="647"/>
      <c r="AO284" s="647"/>
      <c r="AP284" s="647"/>
      <c r="AQ284" s="647"/>
      <c r="AR284" s="647"/>
      <c r="AS284" s="647"/>
      <c r="AT284" s="647"/>
      <c r="AU284" s="647"/>
      <c r="AV284" s="647"/>
      <c r="AW284" s="647"/>
      <c r="AX284" s="647"/>
      <c r="AY284" s="647"/>
      <c r="AZ284" s="647"/>
      <c r="BA284" s="647"/>
      <c r="BB284" s="647"/>
      <c r="BC284" s="647"/>
      <c r="BD284" s="647"/>
      <c r="BE284" s="647"/>
      <c r="BF284" s="647"/>
      <c r="BG284" s="647"/>
      <c r="BH284" s="647"/>
      <c r="BI284" s="647"/>
      <c r="BJ284" s="647"/>
      <c r="BK284" s="647"/>
      <c r="BL284" s="647"/>
      <c r="BM284" s="647"/>
      <c r="BN284" s="647"/>
      <c r="BO284" s="647"/>
      <c r="BP284" s="647"/>
      <c r="BQ284" s="647"/>
      <c r="BR284" s="647"/>
      <c r="BS284" s="647"/>
      <c r="BT284" s="647"/>
      <c r="BU284" s="647"/>
      <c r="BV284" s="647"/>
      <c r="BW284" s="647"/>
      <c r="BX284" s="647"/>
      <c r="BY284" s="647"/>
      <c r="BZ284" s="647"/>
      <c r="CA284" s="647"/>
      <c r="CB284" s="647"/>
      <c r="CC284" s="647"/>
      <c r="CD284" s="647"/>
      <c r="CE284" s="647"/>
      <c r="CF284" s="647"/>
      <c r="CG284" s="647"/>
      <c r="CH284" s="647"/>
      <c r="CI284" s="647"/>
      <c r="CJ284" s="647"/>
      <c r="CK284" s="647"/>
      <c r="CL284" s="647"/>
      <c r="CM284" s="647"/>
      <c r="CN284" s="647"/>
    </row>
    <row r="285" spans="1:92" ht="36">
      <c r="A285" s="647"/>
      <c r="B285" s="663" t="s">
        <v>1071</v>
      </c>
      <c r="C285" s="663" t="s">
        <v>1137</v>
      </c>
      <c r="D285" s="679">
        <v>0</v>
      </c>
      <c r="E285" s="680"/>
      <c r="F285" s="647"/>
      <c r="G285" s="647"/>
      <c r="H285" s="647"/>
      <c r="I285" s="647"/>
      <c r="J285" s="647"/>
      <c r="K285" s="647"/>
      <c r="L285" s="647"/>
      <c r="M285" s="647"/>
      <c r="N285" s="647"/>
      <c r="O285" s="647"/>
      <c r="P285" s="647"/>
      <c r="Q285" s="647"/>
      <c r="R285" s="647"/>
      <c r="S285" s="647"/>
      <c r="T285" s="647"/>
      <c r="U285" s="647"/>
      <c r="V285" s="647"/>
      <c r="W285" s="647"/>
      <c r="X285" s="647"/>
      <c r="Y285" s="647"/>
      <c r="Z285" s="647"/>
      <c r="AA285" s="647"/>
      <c r="AB285" s="647"/>
      <c r="AC285" s="647"/>
      <c r="AD285" s="647"/>
      <c r="AE285" s="647"/>
      <c r="AF285" s="647"/>
      <c r="AG285" s="647"/>
      <c r="AH285" s="647"/>
      <c r="AI285" s="647"/>
      <c r="AJ285" s="647"/>
      <c r="AK285" s="647"/>
      <c r="AL285" s="647"/>
      <c r="AM285" s="647"/>
      <c r="AN285" s="647"/>
      <c r="AO285" s="647"/>
      <c r="AP285" s="647"/>
      <c r="AQ285" s="647"/>
      <c r="AR285" s="647"/>
      <c r="AS285" s="647"/>
      <c r="AT285" s="647"/>
      <c r="AU285" s="647"/>
      <c r="AV285" s="647"/>
      <c r="AW285" s="647"/>
      <c r="AX285" s="647"/>
      <c r="AY285" s="647"/>
      <c r="AZ285" s="647"/>
      <c r="BA285" s="647"/>
      <c r="BB285" s="647"/>
      <c r="BC285" s="647"/>
      <c r="BD285" s="647"/>
      <c r="BE285" s="647"/>
      <c r="BF285" s="647"/>
      <c r="BG285" s="647"/>
      <c r="BH285" s="647"/>
      <c r="BI285" s="647"/>
      <c r="BJ285" s="647"/>
      <c r="BK285" s="647"/>
      <c r="BL285" s="647"/>
      <c r="BM285" s="647"/>
      <c r="BN285" s="647"/>
      <c r="BO285" s="647"/>
      <c r="BP285" s="647"/>
      <c r="BQ285" s="647"/>
      <c r="BR285" s="647"/>
      <c r="BS285" s="647"/>
      <c r="BT285" s="647"/>
      <c r="BU285" s="647"/>
      <c r="BV285" s="647"/>
      <c r="BW285" s="647"/>
      <c r="BX285" s="647"/>
      <c r="BY285" s="647"/>
      <c r="BZ285" s="647"/>
      <c r="CA285" s="647"/>
      <c r="CB285" s="647"/>
      <c r="CC285" s="647"/>
      <c r="CD285" s="647"/>
      <c r="CE285" s="647"/>
      <c r="CF285" s="647"/>
      <c r="CG285" s="647"/>
      <c r="CH285" s="647"/>
      <c r="CI285" s="647"/>
      <c r="CJ285" s="647"/>
      <c r="CK285" s="647"/>
      <c r="CL285" s="647"/>
      <c r="CM285" s="647"/>
      <c r="CN285" s="647"/>
    </row>
    <row r="286" spans="1:92" ht="36">
      <c r="A286" s="647"/>
      <c r="B286" s="663" t="s">
        <v>1076</v>
      </c>
      <c r="C286" s="663" t="s">
        <v>1138</v>
      </c>
      <c r="D286" s="679">
        <v>0</v>
      </c>
      <c r="E286" s="680"/>
      <c r="F286" s="647"/>
      <c r="G286" s="647"/>
      <c r="H286" s="647"/>
      <c r="I286" s="647"/>
      <c r="J286" s="647"/>
      <c r="K286" s="647"/>
      <c r="L286" s="647"/>
      <c r="M286" s="647"/>
      <c r="N286" s="647"/>
      <c r="O286" s="647"/>
      <c r="P286" s="647"/>
      <c r="Q286" s="647"/>
      <c r="R286" s="647"/>
      <c r="S286" s="647"/>
      <c r="T286" s="647"/>
      <c r="U286" s="647"/>
      <c r="V286" s="647"/>
      <c r="W286" s="647"/>
      <c r="X286" s="647"/>
      <c r="Y286" s="647"/>
      <c r="Z286" s="647"/>
      <c r="AA286" s="647"/>
      <c r="AB286" s="647"/>
      <c r="AC286" s="647"/>
      <c r="AD286" s="647"/>
      <c r="AE286" s="647"/>
      <c r="AF286" s="647"/>
      <c r="AG286" s="647"/>
      <c r="AH286" s="647"/>
      <c r="AI286" s="647"/>
      <c r="AJ286" s="647"/>
      <c r="AK286" s="647"/>
      <c r="AL286" s="647"/>
      <c r="AM286" s="647"/>
      <c r="AN286" s="647"/>
      <c r="AO286" s="647"/>
      <c r="AP286" s="647"/>
      <c r="AQ286" s="647"/>
      <c r="AR286" s="647"/>
      <c r="AS286" s="647"/>
      <c r="AT286" s="647"/>
      <c r="AU286" s="647"/>
      <c r="AV286" s="647"/>
      <c r="AW286" s="647"/>
      <c r="AX286" s="647"/>
      <c r="AY286" s="647"/>
      <c r="AZ286" s="647"/>
      <c r="BA286" s="647"/>
      <c r="BB286" s="647"/>
      <c r="BC286" s="647"/>
      <c r="BD286" s="647"/>
      <c r="BE286" s="647"/>
      <c r="BF286" s="647"/>
      <c r="BG286" s="647"/>
      <c r="BH286" s="647"/>
      <c r="BI286" s="647"/>
      <c r="BJ286" s="647"/>
      <c r="BK286" s="647"/>
      <c r="BL286" s="647"/>
      <c r="BM286" s="647"/>
      <c r="BN286" s="647"/>
      <c r="BO286" s="647"/>
      <c r="BP286" s="647"/>
      <c r="BQ286" s="647"/>
      <c r="BR286" s="647"/>
      <c r="BS286" s="647"/>
      <c r="BT286" s="647"/>
      <c r="BU286" s="647"/>
      <c r="BV286" s="647"/>
      <c r="BW286" s="647"/>
      <c r="BX286" s="647"/>
      <c r="BY286" s="647"/>
      <c r="BZ286" s="647"/>
      <c r="CA286" s="647"/>
      <c r="CB286" s="647"/>
      <c r="CC286" s="647"/>
      <c r="CD286" s="647"/>
      <c r="CE286" s="647"/>
      <c r="CF286" s="647"/>
      <c r="CG286" s="647"/>
      <c r="CH286" s="647"/>
      <c r="CI286" s="647"/>
      <c r="CJ286" s="647"/>
      <c r="CK286" s="647"/>
      <c r="CL286" s="647"/>
      <c r="CM286" s="647"/>
      <c r="CN286" s="647"/>
    </row>
    <row r="287" spans="1:92">
      <c r="A287" s="647"/>
      <c r="B287" s="663" t="s">
        <v>1078</v>
      </c>
      <c r="C287" s="666" t="s">
        <v>95</v>
      </c>
      <c r="D287" s="679">
        <f>SUM(D283:D286)</f>
        <v>-130727.81999999999</v>
      </c>
      <c r="E287" s="680"/>
      <c r="F287" s="647"/>
      <c r="G287" s="647"/>
      <c r="H287" s="647"/>
      <c r="I287" s="647"/>
      <c r="J287" s="647"/>
      <c r="K287" s="647"/>
      <c r="L287" s="647"/>
      <c r="M287" s="647"/>
      <c r="N287" s="647"/>
      <c r="O287" s="647"/>
      <c r="P287" s="647"/>
      <c r="Q287" s="647"/>
      <c r="R287" s="647"/>
      <c r="S287" s="647"/>
      <c r="T287" s="647"/>
      <c r="U287" s="647"/>
      <c r="V287" s="647"/>
      <c r="W287" s="647"/>
      <c r="X287" s="647"/>
      <c r="Y287" s="647"/>
      <c r="Z287" s="647"/>
      <c r="AA287" s="647"/>
      <c r="AB287" s="647"/>
      <c r="AC287" s="647"/>
      <c r="AD287" s="647"/>
      <c r="AE287" s="647"/>
      <c r="AF287" s="647"/>
      <c r="AG287" s="647"/>
      <c r="AH287" s="647"/>
      <c r="AI287" s="647"/>
      <c r="AJ287" s="647"/>
      <c r="AK287" s="647"/>
      <c r="AL287" s="647"/>
      <c r="AM287" s="647"/>
      <c r="AN287" s="647"/>
      <c r="AO287" s="647"/>
      <c r="AP287" s="647"/>
      <c r="AQ287" s="647"/>
      <c r="AR287" s="647"/>
      <c r="AS287" s="647"/>
      <c r="AT287" s="647"/>
      <c r="AU287" s="647"/>
      <c r="AV287" s="647"/>
      <c r="AW287" s="647"/>
      <c r="AX287" s="647"/>
      <c r="AY287" s="647"/>
      <c r="AZ287" s="647"/>
      <c r="BA287" s="647"/>
      <c r="BB287" s="647"/>
      <c r="BC287" s="647"/>
      <c r="BD287" s="647"/>
      <c r="BE287" s="647"/>
      <c r="BF287" s="647"/>
      <c r="BG287" s="647"/>
      <c r="BH287" s="647"/>
      <c r="BI287" s="647"/>
      <c r="BJ287" s="647"/>
      <c r="BK287" s="647"/>
      <c r="BL287" s="647"/>
      <c r="BM287" s="647"/>
      <c r="BN287" s="647"/>
      <c r="BO287" s="647"/>
      <c r="BP287" s="647"/>
      <c r="BQ287" s="647"/>
      <c r="BR287" s="647"/>
      <c r="BS287" s="647"/>
      <c r="BT287" s="647"/>
      <c r="BU287" s="647"/>
      <c r="BV287" s="647"/>
      <c r="BW287" s="647"/>
      <c r="BX287" s="647"/>
      <c r="BY287" s="647"/>
      <c r="BZ287" s="647"/>
      <c r="CA287" s="647"/>
      <c r="CB287" s="647"/>
      <c r="CC287" s="647"/>
      <c r="CD287" s="647"/>
      <c r="CE287" s="647"/>
      <c r="CF287" s="647"/>
      <c r="CG287" s="647"/>
      <c r="CH287" s="647"/>
      <c r="CI287" s="647"/>
      <c r="CJ287" s="647"/>
      <c r="CK287" s="647"/>
      <c r="CL287" s="647"/>
      <c r="CM287" s="647"/>
      <c r="CN287" s="647"/>
    </row>
    <row r="288" spans="1:92">
      <c r="A288" s="647" t="s">
        <v>1007</v>
      </c>
      <c r="B288" s="647" t="s">
        <v>1007</v>
      </c>
      <c r="C288" s="647" t="s">
        <v>1007</v>
      </c>
      <c r="D288" s="647" t="s">
        <v>1007</v>
      </c>
      <c r="F288" s="647"/>
      <c r="G288" s="647"/>
      <c r="H288" s="647"/>
      <c r="I288" s="647"/>
      <c r="J288" s="647"/>
      <c r="K288" s="647"/>
      <c r="L288" s="647"/>
      <c r="M288" s="647"/>
      <c r="N288" s="647"/>
      <c r="O288" s="647"/>
      <c r="P288" s="647"/>
      <c r="Q288" s="647"/>
      <c r="R288" s="647"/>
      <c r="S288" s="647"/>
      <c r="T288" s="647"/>
      <c r="U288" s="647"/>
      <c r="V288" s="647"/>
      <c r="W288" s="647"/>
      <c r="X288" s="647"/>
      <c r="Y288" s="647"/>
      <c r="Z288" s="647"/>
      <c r="AA288" s="647"/>
      <c r="AB288" s="647"/>
      <c r="AC288" s="647"/>
      <c r="AD288" s="647"/>
      <c r="AE288" s="647"/>
      <c r="AF288" s="647"/>
      <c r="AG288" s="647"/>
      <c r="AH288" s="647"/>
      <c r="AI288" s="647"/>
      <c r="AJ288" s="647"/>
      <c r="AK288" s="647"/>
      <c r="AL288" s="647"/>
      <c r="AM288" s="647"/>
      <c r="AN288" s="729"/>
      <c r="AO288" s="729"/>
      <c r="AP288" s="729"/>
      <c r="AQ288" s="729"/>
      <c r="AR288" s="729"/>
      <c r="AS288" s="729"/>
      <c r="AT288" s="729"/>
      <c r="AU288" s="729"/>
      <c r="AV288" s="729"/>
      <c r="AW288" s="729"/>
      <c r="AX288" s="729"/>
      <c r="AY288" s="729"/>
      <c r="AZ288" s="729"/>
      <c r="BA288" s="729"/>
      <c r="BB288" s="729"/>
      <c r="BC288" s="729"/>
      <c r="BD288" s="729"/>
      <c r="BE288" s="729"/>
      <c r="BF288" s="729"/>
      <c r="BG288" s="729"/>
      <c r="BH288" s="729"/>
      <c r="BI288" s="729"/>
      <c r="BJ288" s="729"/>
      <c r="BK288" s="729"/>
      <c r="BL288" s="729"/>
      <c r="BM288" s="729"/>
      <c r="BN288" s="729"/>
      <c r="BO288" s="729"/>
      <c r="BP288" s="729"/>
      <c r="BQ288" s="729"/>
      <c r="BR288" s="729"/>
      <c r="BS288" s="729"/>
      <c r="BT288" s="729"/>
      <c r="BU288" s="729"/>
      <c r="BV288" s="729"/>
      <c r="BW288" s="729"/>
      <c r="BX288" s="729"/>
      <c r="BY288" s="729"/>
      <c r="BZ288" s="729"/>
      <c r="CA288" s="729"/>
      <c r="CB288" s="729"/>
      <c r="CC288" s="729"/>
      <c r="CD288" s="729"/>
      <c r="CE288" s="729"/>
      <c r="CF288" s="729"/>
      <c r="CG288" s="729"/>
      <c r="CH288" s="729"/>
      <c r="CI288" s="729"/>
      <c r="CJ288" s="729"/>
      <c r="CK288" s="729"/>
      <c r="CL288" s="729"/>
      <c r="CM288" s="729"/>
      <c r="CN288" s="729"/>
    </row>
    <row r="289" spans="1:92" hidden="1">
      <c r="A289" s="646" t="s">
        <v>1001</v>
      </c>
      <c r="B289" s="647"/>
      <c r="C289" s="647"/>
      <c r="D289" s="647"/>
      <c r="F289" s="647"/>
      <c r="G289" s="647"/>
      <c r="H289" s="647"/>
      <c r="I289" s="647"/>
      <c r="J289" s="647"/>
      <c r="K289" s="647"/>
      <c r="L289" s="647"/>
      <c r="M289" s="647"/>
      <c r="N289" s="647"/>
      <c r="O289" s="647"/>
      <c r="P289" s="647"/>
      <c r="Q289" s="647"/>
      <c r="R289" s="647"/>
      <c r="S289" s="647"/>
      <c r="T289" s="647"/>
      <c r="U289" s="647"/>
      <c r="V289" s="647"/>
      <c r="W289" s="647"/>
      <c r="X289" s="647"/>
      <c r="Y289" s="647"/>
      <c r="Z289" s="647"/>
      <c r="AA289" s="647"/>
      <c r="AB289" s="647"/>
      <c r="AC289" s="647"/>
      <c r="AD289" s="647"/>
      <c r="AE289" s="647"/>
      <c r="AF289" s="647"/>
      <c r="AG289" s="647"/>
      <c r="AH289" s="647"/>
      <c r="AI289" s="647"/>
      <c r="AJ289" s="647"/>
      <c r="AK289" s="647"/>
      <c r="AL289" s="647"/>
      <c r="AM289" s="647"/>
      <c r="AN289" s="647"/>
      <c r="AO289" s="647"/>
      <c r="AP289" s="647"/>
      <c r="AQ289" s="647"/>
      <c r="AR289" s="647"/>
      <c r="AS289" s="647"/>
      <c r="AT289" s="647"/>
      <c r="AU289" s="647"/>
      <c r="AV289" s="647"/>
      <c r="AW289" s="647"/>
      <c r="AX289" s="647"/>
      <c r="AY289" s="647"/>
      <c r="AZ289" s="647"/>
      <c r="BA289" s="647"/>
      <c r="BB289" s="647"/>
      <c r="BC289" s="647"/>
      <c r="BD289" s="647"/>
      <c r="BE289" s="647"/>
      <c r="BF289" s="647"/>
      <c r="BG289" s="647"/>
      <c r="BH289" s="647"/>
      <c r="BI289" s="647"/>
      <c r="BJ289" s="647"/>
      <c r="BK289" s="647"/>
      <c r="BL289" s="647"/>
      <c r="BM289" s="647"/>
      <c r="BN289" s="647"/>
      <c r="BO289" s="647"/>
      <c r="BP289" s="647"/>
      <c r="BQ289" s="647"/>
      <c r="BR289" s="647"/>
      <c r="BS289" s="647"/>
      <c r="BT289" s="647"/>
      <c r="BU289" s="647"/>
      <c r="BV289" s="647"/>
      <c r="BW289" s="647"/>
      <c r="BX289" s="647"/>
      <c r="BY289" s="647"/>
      <c r="BZ289" s="647"/>
      <c r="CA289" s="647"/>
      <c r="CB289" s="647"/>
      <c r="CC289" s="647"/>
      <c r="CD289" s="647"/>
      <c r="CE289" s="647"/>
      <c r="CF289" s="647"/>
      <c r="CG289" s="647"/>
      <c r="CH289" s="647"/>
      <c r="CI289" s="647"/>
      <c r="CJ289" s="647"/>
      <c r="CK289" s="647"/>
      <c r="CL289" s="647"/>
      <c r="CM289" s="647"/>
      <c r="CN289" s="647"/>
    </row>
    <row r="290" spans="1:92" hidden="1">
      <c r="A290" s="647"/>
      <c r="B290" s="646" t="s">
        <v>1139</v>
      </c>
      <c r="C290" s="647"/>
      <c r="D290" s="647"/>
      <c r="F290" s="647"/>
      <c r="G290" s="647"/>
      <c r="H290" s="647"/>
      <c r="I290" s="647"/>
      <c r="J290" s="647"/>
      <c r="K290" s="647"/>
      <c r="L290" s="647"/>
      <c r="M290" s="647"/>
      <c r="N290" s="647"/>
      <c r="O290" s="647"/>
      <c r="P290" s="647"/>
      <c r="Q290" s="647"/>
      <c r="R290" s="647"/>
      <c r="S290" s="647"/>
      <c r="T290" s="647"/>
      <c r="U290" s="647"/>
      <c r="V290" s="647"/>
      <c r="W290" s="647"/>
      <c r="X290" s="647"/>
      <c r="Y290" s="647"/>
      <c r="Z290" s="647"/>
      <c r="AA290" s="647"/>
      <c r="AB290" s="647"/>
      <c r="AC290" s="647"/>
      <c r="AD290" s="647"/>
      <c r="AE290" s="647"/>
      <c r="AF290" s="647"/>
      <c r="AG290" s="647"/>
      <c r="AH290" s="647"/>
      <c r="AI290" s="647"/>
      <c r="AJ290" s="647"/>
      <c r="AK290" s="647"/>
      <c r="AL290" s="647"/>
      <c r="AM290" s="647"/>
      <c r="AN290" s="647"/>
      <c r="AO290" s="647"/>
      <c r="AP290" s="647"/>
      <c r="AQ290" s="647"/>
      <c r="AR290" s="647"/>
      <c r="AS290" s="647"/>
      <c r="AT290" s="647"/>
      <c r="AU290" s="647"/>
      <c r="AV290" s="647"/>
      <c r="AW290" s="647"/>
      <c r="AX290" s="647"/>
      <c r="AY290" s="647"/>
      <c r="AZ290" s="647"/>
      <c r="BA290" s="647"/>
      <c r="BB290" s="647"/>
      <c r="BC290" s="647"/>
      <c r="BD290" s="647"/>
      <c r="BE290" s="647"/>
      <c r="BF290" s="647"/>
      <c r="BG290" s="647"/>
      <c r="BH290" s="647"/>
      <c r="BI290" s="647"/>
      <c r="BJ290" s="647"/>
      <c r="BK290" s="647"/>
      <c r="BL290" s="647"/>
      <c r="BM290" s="647"/>
      <c r="BN290" s="647"/>
      <c r="BO290" s="647"/>
      <c r="BP290" s="647"/>
      <c r="BQ290" s="647"/>
      <c r="BR290" s="647"/>
      <c r="BS290" s="647"/>
      <c r="BT290" s="647"/>
      <c r="BU290" s="647"/>
      <c r="BV290" s="647"/>
      <c r="BW290" s="647"/>
      <c r="BX290" s="647"/>
      <c r="BY290" s="647"/>
      <c r="BZ290" s="647"/>
      <c r="CA290" s="647"/>
      <c r="CB290" s="647"/>
      <c r="CC290" s="647"/>
      <c r="CD290" s="647"/>
      <c r="CE290" s="647"/>
      <c r="CF290" s="647"/>
      <c r="CG290" s="647"/>
      <c r="CH290" s="647"/>
      <c r="CI290" s="647"/>
      <c r="CJ290" s="647"/>
      <c r="CK290" s="647"/>
      <c r="CL290" s="647"/>
      <c r="CM290" s="647"/>
      <c r="CN290" s="647"/>
    </row>
    <row r="291" spans="1:92" ht="24" hidden="1">
      <c r="A291" s="647"/>
      <c r="B291" s="661" t="s">
        <v>99</v>
      </c>
      <c r="C291" s="661" t="s">
        <v>65</v>
      </c>
      <c r="D291" s="661" t="s">
        <v>5</v>
      </c>
      <c r="E291" s="662" t="s">
        <v>2</v>
      </c>
      <c r="F291" s="647"/>
      <c r="G291" s="647"/>
      <c r="H291" s="647"/>
      <c r="I291" s="647"/>
      <c r="J291" s="647"/>
      <c r="K291" s="647"/>
      <c r="L291" s="647"/>
      <c r="M291" s="647"/>
      <c r="N291" s="647"/>
      <c r="O291" s="647"/>
      <c r="P291" s="647"/>
      <c r="Q291" s="647"/>
      <c r="R291" s="647"/>
      <c r="S291" s="647"/>
      <c r="T291" s="647"/>
      <c r="U291" s="647"/>
      <c r="V291" s="647"/>
      <c r="W291" s="647"/>
      <c r="X291" s="647"/>
      <c r="Y291" s="647"/>
      <c r="Z291" s="647"/>
      <c r="AA291" s="647"/>
      <c r="AB291" s="647"/>
      <c r="AC291" s="647"/>
      <c r="AD291" s="647"/>
      <c r="AE291" s="647"/>
      <c r="AF291" s="647"/>
      <c r="AG291" s="647"/>
      <c r="AH291" s="647"/>
      <c r="AI291" s="647"/>
      <c r="AJ291" s="647"/>
      <c r="AK291" s="647"/>
      <c r="AL291" s="647"/>
      <c r="AM291" s="647"/>
      <c r="AN291" s="647"/>
      <c r="AO291" s="647"/>
      <c r="AP291" s="647"/>
      <c r="AQ291" s="647"/>
      <c r="AR291" s="647"/>
      <c r="AS291" s="647"/>
      <c r="AT291" s="647"/>
      <c r="AU291" s="647"/>
      <c r="AV291" s="647"/>
      <c r="AW291" s="647"/>
      <c r="AX291" s="647"/>
      <c r="AY291" s="647"/>
      <c r="AZ291" s="647"/>
      <c r="BA291" s="647"/>
      <c r="BB291" s="647"/>
      <c r="BC291" s="647"/>
      <c r="BD291" s="647"/>
      <c r="BE291" s="647"/>
      <c r="BF291" s="647"/>
      <c r="BG291" s="647"/>
      <c r="BH291" s="647"/>
      <c r="BI291" s="647"/>
      <c r="BJ291" s="647"/>
      <c r="BK291" s="647"/>
      <c r="BL291" s="647"/>
      <c r="BM291" s="647"/>
      <c r="BN291" s="647"/>
      <c r="BO291" s="647"/>
      <c r="BP291" s="647"/>
      <c r="BQ291" s="647"/>
      <c r="BR291" s="647"/>
      <c r="BS291" s="647"/>
      <c r="BT291" s="647"/>
      <c r="BU291" s="647"/>
      <c r="BV291" s="647"/>
      <c r="BW291" s="647"/>
      <c r="BX291" s="647"/>
      <c r="BY291" s="647"/>
      <c r="BZ291" s="647"/>
      <c r="CA291" s="647"/>
      <c r="CB291" s="647"/>
      <c r="CC291" s="647"/>
      <c r="CD291" s="647"/>
      <c r="CE291" s="647"/>
      <c r="CF291" s="647"/>
      <c r="CG291" s="647"/>
      <c r="CH291" s="647"/>
      <c r="CI291" s="647"/>
      <c r="CJ291" s="647"/>
      <c r="CK291" s="647"/>
      <c r="CL291" s="647"/>
      <c r="CM291" s="647"/>
      <c r="CN291" s="647"/>
    </row>
    <row r="292" spans="1:92" ht="24" hidden="1">
      <c r="A292" s="647"/>
      <c r="B292" s="663" t="s">
        <v>1027</v>
      </c>
      <c r="C292" s="663" t="s">
        <v>1140</v>
      </c>
      <c r="D292" s="664">
        <v>0</v>
      </c>
      <c r="E292" s="665">
        <v>0</v>
      </c>
      <c r="F292" s="647"/>
      <c r="G292" s="647"/>
      <c r="H292" s="647"/>
      <c r="I292" s="647"/>
      <c r="J292" s="647"/>
      <c r="K292" s="647"/>
      <c r="L292" s="647"/>
      <c r="M292" s="647"/>
      <c r="N292" s="647"/>
      <c r="O292" s="647"/>
      <c r="P292" s="647"/>
      <c r="Q292" s="647"/>
      <c r="R292" s="647"/>
      <c r="S292" s="647"/>
      <c r="T292" s="647"/>
      <c r="U292" s="647"/>
      <c r="V292" s="647"/>
      <c r="W292" s="647"/>
      <c r="X292" s="647"/>
      <c r="Y292" s="647"/>
      <c r="Z292" s="647"/>
      <c r="AA292" s="647"/>
      <c r="AB292" s="647"/>
      <c r="AC292" s="647"/>
      <c r="AD292" s="647"/>
      <c r="AE292" s="647"/>
      <c r="AF292" s="647"/>
      <c r="AG292" s="647"/>
      <c r="AH292" s="647"/>
      <c r="AI292" s="647"/>
      <c r="AJ292" s="647"/>
      <c r="AK292" s="647"/>
      <c r="AL292" s="647"/>
      <c r="AM292" s="647"/>
      <c r="AN292" s="647"/>
      <c r="AO292" s="647"/>
      <c r="AP292" s="647"/>
      <c r="AQ292" s="647"/>
      <c r="AR292" s="647"/>
      <c r="AS292" s="647"/>
      <c r="AT292" s="647"/>
      <c r="AU292" s="647"/>
      <c r="AV292" s="647"/>
      <c r="AW292" s="647"/>
      <c r="AX292" s="647"/>
      <c r="AY292" s="647"/>
      <c r="AZ292" s="647"/>
      <c r="BA292" s="647"/>
      <c r="BB292" s="647"/>
      <c r="BC292" s="647"/>
      <c r="BD292" s="647"/>
      <c r="BE292" s="647"/>
      <c r="BF292" s="647"/>
      <c r="BG292" s="647"/>
      <c r="BH292" s="647"/>
      <c r="BI292" s="647"/>
      <c r="BJ292" s="647"/>
      <c r="BK292" s="647"/>
      <c r="BL292" s="647"/>
      <c r="BM292" s="647"/>
      <c r="BN292" s="647"/>
      <c r="BO292" s="647"/>
      <c r="BP292" s="647"/>
      <c r="BQ292" s="647"/>
      <c r="BR292" s="647"/>
      <c r="BS292" s="647"/>
      <c r="BT292" s="647"/>
      <c r="BU292" s="647"/>
      <c r="BV292" s="647"/>
      <c r="BW292" s="647"/>
      <c r="BX292" s="647"/>
      <c r="BY292" s="647"/>
      <c r="BZ292" s="647"/>
      <c r="CA292" s="647"/>
      <c r="CB292" s="647"/>
      <c r="CC292" s="647"/>
      <c r="CD292" s="647"/>
      <c r="CE292" s="647"/>
      <c r="CF292" s="647"/>
      <c r="CG292" s="647"/>
      <c r="CH292" s="647"/>
      <c r="CI292" s="647"/>
      <c r="CJ292" s="647"/>
      <c r="CK292" s="647"/>
      <c r="CL292" s="647"/>
      <c r="CM292" s="647"/>
      <c r="CN292" s="647"/>
    </row>
    <row r="293" spans="1:92" ht="36" hidden="1">
      <c r="A293" s="647"/>
      <c r="B293" s="663" t="s">
        <v>1010</v>
      </c>
      <c r="C293" s="663" t="s">
        <v>1141</v>
      </c>
      <c r="D293" s="664">
        <v>0</v>
      </c>
      <c r="E293" s="665">
        <v>0</v>
      </c>
      <c r="F293" s="647"/>
      <c r="G293" s="647"/>
      <c r="H293" s="647"/>
      <c r="I293" s="647"/>
      <c r="J293" s="647"/>
      <c r="K293" s="647"/>
      <c r="L293" s="647"/>
      <c r="M293" s="647"/>
      <c r="N293" s="647"/>
      <c r="O293" s="647"/>
      <c r="P293" s="647"/>
      <c r="Q293" s="647"/>
      <c r="R293" s="647"/>
      <c r="S293" s="647"/>
      <c r="T293" s="647"/>
      <c r="U293" s="647"/>
      <c r="V293" s="647"/>
      <c r="W293" s="647"/>
      <c r="X293" s="647"/>
      <c r="Y293" s="647"/>
      <c r="Z293" s="647"/>
      <c r="AA293" s="647"/>
      <c r="AB293" s="647"/>
      <c r="AC293" s="647"/>
      <c r="AD293" s="647"/>
      <c r="AE293" s="647"/>
      <c r="AF293" s="647"/>
      <c r="AG293" s="647"/>
      <c r="AH293" s="647"/>
      <c r="AI293" s="647"/>
      <c r="AJ293" s="647"/>
      <c r="AK293" s="647"/>
      <c r="AL293" s="647"/>
      <c r="AM293" s="647"/>
      <c r="AN293" s="647"/>
      <c r="AO293" s="647"/>
      <c r="AP293" s="647"/>
      <c r="AQ293" s="647"/>
      <c r="AR293" s="647"/>
      <c r="AS293" s="647"/>
      <c r="AT293" s="647"/>
      <c r="AU293" s="647"/>
      <c r="AV293" s="647"/>
      <c r="AW293" s="647"/>
      <c r="AX293" s="647"/>
      <c r="AY293" s="647"/>
      <c r="AZ293" s="647"/>
      <c r="BA293" s="647"/>
      <c r="BB293" s="647"/>
      <c r="BC293" s="647"/>
      <c r="BD293" s="647"/>
      <c r="BE293" s="647"/>
      <c r="BF293" s="647"/>
      <c r="BG293" s="647"/>
      <c r="BH293" s="647"/>
      <c r="BI293" s="647"/>
      <c r="BJ293" s="647"/>
      <c r="BK293" s="647"/>
      <c r="BL293" s="647"/>
      <c r="BM293" s="647"/>
      <c r="BN293" s="647"/>
      <c r="BO293" s="647"/>
      <c r="BP293" s="647"/>
      <c r="BQ293" s="647"/>
      <c r="BR293" s="647"/>
      <c r="BS293" s="647"/>
      <c r="BT293" s="647"/>
      <c r="BU293" s="647"/>
      <c r="BV293" s="647"/>
      <c r="BW293" s="647"/>
      <c r="BX293" s="647"/>
      <c r="BY293" s="647"/>
      <c r="BZ293" s="647"/>
      <c r="CA293" s="647"/>
      <c r="CB293" s="647"/>
      <c r="CC293" s="647"/>
      <c r="CD293" s="647"/>
      <c r="CE293" s="647"/>
      <c r="CF293" s="647"/>
      <c r="CG293" s="647"/>
      <c r="CH293" s="647"/>
      <c r="CI293" s="647"/>
      <c r="CJ293" s="647"/>
      <c r="CK293" s="647"/>
      <c r="CL293" s="647"/>
      <c r="CM293" s="647"/>
      <c r="CN293" s="647"/>
    </row>
    <row r="294" spans="1:92" ht="24" hidden="1">
      <c r="A294" s="647"/>
      <c r="B294" s="663" t="s">
        <v>1071</v>
      </c>
      <c r="C294" s="663" t="s">
        <v>1142</v>
      </c>
      <c r="D294" s="664">
        <v>0</v>
      </c>
      <c r="E294" s="665">
        <v>0</v>
      </c>
      <c r="F294" s="647"/>
      <c r="G294" s="647"/>
      <c r="H294" s="647"/>
      <c r="I294" s="647"/>
      <c r="J294" s="647"/>
      <c r="K294" s="647"/>
      <c r="L294" s="647"/>
      <c r="M294" s="647"/>
      <c r="N294" s="647"/>
      <c r="O294" s="647"/>
      <c r="P294" s="647"/>
      <c r="Q294" s="647"/>
      <c r="R294" s="647"/>
      <c r="S294" s="647"/>
      <c r="T294" s="647"/>
      <c r="U294" s="647"/>
      <c r="V294" s="647"/>
      <c r="W294" s="647"/>
      <c r="X294" s="647"/>
      <c r="Y294" s="647"/>
      <c r="Z294" s="647"/>
      <c r="AA294" s="647"/>
      <c r="AB294" s="647"/>
      <c r="AC294" s="647"/>
      <c r="AD294" s="647"/>
      <c r="AE294" s="647"/>
      <c r="AF294" s="647"/>
      <c r="AG294" s="647"/>
      <c r="AH294" s="647"/>
      <c r="AI294" s="647"/>
      <c r="AJ294" s="647"/>
      <c r="AK294" s="647"/>
      <c r="AL294" s="647"/>
      <c r="AM294" s="647"/>
      <c r="AN294" s="647"/>
      <c r="AO294" s="647"/>
      <c r="AP294" s="647"/>
      <c r="AQ294" s="647"/>
      <c r="AR294" s="647"/>
      <c r="AS294" s="647"/>
      <c r="AT294" s="647"/>
      <c r="AU294" s="647"/>
      <c r="AV294" s="647"/>
      <c r="AW294" s="647"/>
      <c r="AX294" s="647"/>
      <c r="AY294" s="647"/>
      <c r="AZ294" s="647"/>
      <c r="BA294" s="647"/>
      <c r="BB294" s="647"/>
      <c r="BC294" s="647"/>
      <c r="BD294" s="647"/>
      <c r="BE294" s="647"/>
      <c r="BF294" s="647"/>
      <c r="BG294" s="647"/>
      <c r="BH294" s="647"/>
      <c r="BI294" s="647"/>
      <c r="BJ294" s="647"/>
      <c r="BK294" s="647"/>
      <c r="BL294" s="647"/>
      <c r="BM294" s="647"/>
      <c r="BN294" s="647"/>
      <c r="BO294" s="647"/>
      <c r="BP294" s="647"/>
      <c r="BQ294" s="647"/>
      <c r="BR294" s="647"/>
      <c r="BS294" s="647"/>
      <c r="BT294" s="647"/>
      <c r="BU294" s="647"/>
      <c r="BV294" s="647"/>
      <c r="BW294" s="647"/>
      <c r="BX294" s="647"/>
      <c r="BY294" s="647"/>
      <c r="BZ294" s="647"/>
      <c r="CA294" s="647"/>
      <c r="CB294" s="647"/>
      <c r="CC294" s="647"/>
      <c r="CD294" s="647"/>
      <c r="CE294" s="647"/>
      <c r="CF294" s="647"/>
      <c r="CG294" s="647"/>
      <c r="CH294" s="647"/>
      <c r="CI294" s="647"/>
      <c r="CJ294" s="647"/>
      <c r="CK294" s="647"/>
      <c r="CL294" s="647"/>
      <c r="CM294" s="647"/>
      <c r="CN294" s="647"/>
    </row>
    <row r="295" spans="1:92" ht="24" hidden="1">
      <c r="A295" s="647"/>
      <c r="B295" s="663" t="s">
        <v>1076</v>
      </c>
      <c r="C295" s="663" t="s">
        <v>1143</v>
      </c>
      <c r="D295" s="664">
        <v>0</v>
      </c>
      <c r="E295" s="665">
        <v>0</v>
      </c>
      <c r="F295" s="647"/>
      <c r="G295" s="647"/>
      <c r="H295" s="647"/>
      <c r="I295" s="647"/>
      <c r="J295" s="647"/>
      <c r="K295" s="647"/>
      <c r="L295" s="647"/>
      <c r="M295" s="647"/>
      <c r="N295" s="647"/>
      <c r="O295" s="647"/>
      <c r="P295" s="647"/>
      <c r="Q295" s="647"/>
      <c r="R295" s="647"/>
      <c r="S295" s="647"/>
      <c r="T295" s="647"/>
      <c r="U295" s="647"/>
      <c r="V295" s="647"/>
      <c r="W295" s="647"/>
      <c r="X295" s="647"/>
      <c r="Y295" s="647"/>
      <c r="Z295" s="647"/>
      <c r="AA295" s="647"/>
      <c r="AB295" s="647"/>
      <c r="AC295" s="647"/>
      <c r="AD295" s="647"/>
      <c r="AE295" s="647"/>
      <c r="AF295" s="647"/>
      <c r="AG295" s="647"/>
      <c r="AH295" s="647"/>
      <c r="AI295" s="647"/>
      <c r="AJ295" s="647"/>
      <c r="AK295" s="647"/>
      <c r="AL295" s="647"/>
      <c r="AM295" s="647"/>
      <c r="AN295" s="647"/>
      <c r="AO295" s="647"/>
      <c r="AP295" s="647"/>
      <c r="AQ295" s="647"/>
      <c r="AR295" s="647"/>
      <c r="AS295" s="647"/>
      <c r="AT295" s="647"/>
      <c r="AU295" s="647"/>
      <c r="AV295" s="647"/>
      <c r="AW295" s="647"/>
      <c r="AX295" s="647"/>
      <c r="AY295" s="647"/>
      <c r="AZ295" s="647"/>
      <c r="BA295" s="647"/>
      <c r="BB295" s="647"/>
      <c r="BC295" s="647"/>
      <c r="BD295" s="647"/>
      <c r="BE295" s="647"/>
      <c r="BF295" s="647"/>
      <c r="BG295" s="647"/>
      <c r="BH295" s="647"/>
      <c r="BI295" s="647"/>
      <c r="BJ295" s="647"/>
      <c r="BK295" s="647"/>
      <c r="BL295" s="647"/>
      <c r="BM295" s="647"/>
      <c r="BN295" s="647"/>
      <c r="BO295" s="647"/>
      <c r="BP295" s="647"/>
      <c r="BQ295" s="647"/>
      <c r="BR295" s="647"/>
      <c r="BS295" s="647"/>
      <c r="BT295" s="647"/>
      <c r="BU295" s="647"/>
      <c r="BV295" s="647"/>
      <c r="BW295" s="647"/>
      <c r="BX295" s="647"/>
      <c r="BY295" s="647"/>
      <c r="BZ295" s="647"/>
      <c r="CA295" s="647"/>
      <c r="CB295" s="647"/>
      <c r="CC295" s="647"/>
      <c r="CD295" s="647"/>
      <c r="CE295" s="647"/>
      <c r="CF295" s="647"/>
      <c r="CG295" s="647"/>
      <c r="CH295" s="647"/>
      <c r="CI295" s="647"/>
      <c r="CJ295" s="647"/>
      <c r="CK295" s="647"/>
      <c r="CL295" s="647"/>
      <c r="CM295" s="647"/>
      <c r="CN295" s="647"/>
    </row>
    <row r="296" spans="1:92" ht="36" hidden="1">
      <c r="A296" s="647"/>
      <c r="B296" s="663" t="s">
        <v>1078</v>
      </c>
      <c r="C296" s="663" t="s">
        <v>1144</v>
      </c>
      <c r="D296" s="664">
        <v>0</v>
      </c>
      <c r="E296" s="665">
        <v>0</v>
      </c>
      <c r="F296" s="647"/>
      <c r="G296" s="647"/>
      <c r="H296" s="647"/>
      <c r="I296" s="647"/>
      <c r="J296" s="647"/>
      <c r="K296" s="647"/>
      <c r="L296" s="647"/>
      <c r="M296" s="647"/>
      <c r="N296" s="647"/>
      <c r="O296" s="647"/>
      <c r="P296" s="647"/>
      <c r="Q296" s="647"/>
      <c r="R296" s="647"/>
      <c r="S296" s="647"/>
      <c r="T296" s="647"/>
      <c r="U296" s="647"/>
      <c r="V296" s="647"/>
      <c r="W296" s="647"/>
      <c r="X296" s="647"/>
      <c r="Y296" s="647"/>
      <c r="Z296" s="647"/>
      <c r="AA296" s="647"/>
      <c r="AB296" s="647"/>
      <c r="AC296" s="647"/>
      <c r="AD296" s="647"/>
      <c r="AE296" s="647"/>
      <c r="AF296" s="647"/>
      <c r="AG296" s="647"/>
      <c r="AH296" s="647"/>
      <c r="AI296" s="647"/>
      <c r="AJ296" s="647"/>
      <c r="AK296" s="647"/>
      <c r="AL296" s="647"/>
      <c r="AM296" s="647"/>
      <c r="AN296" s="647"/>
      <c r="AO296" s="647"/>
      <c r="AP296" s="647"/>
      <c r="AQ296" s="647"/>
      <c r="AR296" s="647"/>
      <c r="AS296" s="647"/>
      <c r="AT296" s="647"/>
      <c r="AU296" s="647"/>
      <c r="AV296" s="647"/>
      <c r="AW296" s="647"/>
      <c r="AX296" s="647"/>
      <c r="AY296" s="647"/>
      <c r="AZ296" s="647"/>
      <c r="BA296" s="647"/>
      <c r="BB296" s="647"/>
      <c r="BC296" s="647"/>
      <c r="BD296" s="647"/>
      <c r="BE296" s="647"/>
      <c r="BF296" s="647"/>
      <c r="BG296" s="647"/>
      <c r="BH296" s="647"/>
      <c r="BI296" s="647"/>
      <c r="BJ296" s="647"/>
      <c r="BK296" s="647"/>
      <c r="BL296" s="647"/>
      <c r="BM296" s="647"/>
      <c r="BN296" s="647"/>
      <c r="BO296" s="647"/>
      <c r="BP296" s="647"/>
      <c r="BQ296" s="647"/>
      <c r="BR296" s="647"/>
      <c r="BS296" s="647"/>
      <c r="BT296" s="647"/>
      <c r="BU296" s="647"/>
      <c r="BV296" s="647"/>
      <c r="BW296" s="647"/>
      <c r="BX296" s="647"/>
      <c r="BY296" s="647"/>
      <c r="BZ296" s="647"/>
      <c r="CA296" s="647"/>
      <c r="CB296" s="647"/>
      <c r="CC296" s="647"/>
      <c r="CD296" s="647"/>
      <c r="CE296" s="647"/>
      <c r="CF296" s="647"/>
      <c r="CG296" s="647"/>
      <c r="CH296" s="647"/>
      <c r="CI296" s="647"/>
      <c r="CJ296" s="647"/>
      <c r="CK296" s="647"/>
      <c r="CL296" s="647"/>
      <c r="CM296" s="647"/>
      <c r="CN296" s="647"/>
    </row>
    <row r="297" spans="1:92" hidden="1">
      <c r="A297" s="647"/>
      <c r="B297" s="663" t="s">
        <v>1080</v>
      </c>
      <c r="C297" s="666" t="s">
        <v>95</v>
      </c>
      <c r="D297" s="664">
        <v>0</v>
      </c>
      <c r="E297" s="665">
        <v>0</v>
      </c>
      <c r="F297" s="647"/>
      <c r="G297" s="647"/>
      <c r="H297" s="647"/>
      <c r="I297" s="647"/>
      <c r="J297" s="647"/>
      <c r="K297" s="647"/>
      <c r="L297" s="647"/>
      <c r="M297" s="647"/>
      <c r="N297" s="647"/>
      <c r="O297" s="647"/>
      <c r="P297" s="647"/>
      <c r="Q297" s="647"/>
      <c r="R297" s="647"/>
      <c r="S297" s="647"/>
      <c r="T297" s="647"/>
      <c r="U297" s="647"/>
      <c r="V297" s="647"/>
      <c r="W297" s="647"/>
      <c r="X297" s="647"/>
      <c r="Y297" s="647"/>
      <c r="Z297" s="647"/>
      <c r="AA297" s="647"/>
      <c r="AB297" s="647"/>
      <c r="AC297" s="647"/>
      <c r="AD297" s="647"/>
      <c r="AE297" s="647"/>
      <c r="AF297" s="647"/>
      <c r="AG297" s="647"/>
      <c r="AH297" s="647"/>
      <c r="AI297" s="647"/>
      <c r="AJ297" s="647"/>
      <c r="AK297" s="647"/>
      <c r="AL297" s="647"/>
      <c r="AM297" s="647"/>
      <c r="AN297" s="647"/>
      <c r="AO297" s="647"/>
      <c r="AP297" s="647"/>
      <c r="AQ297" s="647"/>
      <c r="AR297" s="647"/>
      <c r="AS297" s="647"/>
      <c r="AT297" s="647"/>
      <c r="AU297" s="647"/>
      <c r="AV297" s="647"/>
      <c r="AW297" s="647"/>
      <c r="AX297" s="647"/>
      <c r="AY297" s="647"/>
      <c r="AZ297" s="647"/>
      <c r="BA297" s="647"/>
      <c r="BB297" s="647"/>
      <c r="BC297" s="647"/>
      <c r="BD297" s="647"/>
      <c r="BE297" s="647"/>
      <c r="BF297" s="647"/>
      <c r="BG297" s="647"/>
      <c r="BH297" s="647"/>
      <c r="BI297" s="647"/>
      <c r="BJ297" s="647"/>
      <c r="BK297" s="647"/>
      <c r="BL297" s="647"/>
      <c r="BM297" s="647"/>
      <c r="BN297" s="647"/>
      <c r="BO297" s="647"/>
      <c r="BP297" s="647"/>
      <c r="BQ297" s="647"/>
      <c r="BR297" s="647"/>
      <c r="BS297" s="647"/>
      <c r="BT297" s="647"/>
      <c r="BU297" s="647"/>
      <c r="BV297" s="647"/>
      <c r="BW297" s="647"/>
      <c r="BX297" s="647"/>
      <c r="BY297" s="647"/>
      <c r="BZ297" s="647"/>
      <c r="CA297" s="647"/>
      <c r="CB297" s="647"/>
      <c r="CC297" s="647"/>
      <c r="CD297" s="647"/>
      <c r="CE297" s="647"/>
      <c r="CF297" s="647"/>
      <c r="CG297" s="647"/>
      <c r="CH297" s="647"/>
      <c r="CI297" s="647"/>
      <c r="CJ297" s="647"/>
      <c r="CK297" s="647"/>
      <c r="CL297" s="647"/>
      <c r="CM297" s="647"/>
      <c r="CN297" s="647"/>
    </row>
    <row r="298" spans="1:92">
      <c r="A298" s="647" t="s">
        <v>1007</v>
      </c>
      <c r="B298" s="647" t="s">
        <v>1007</v>
      </c>
      <c r="C298" s="647" t="s">
        <v>1007</v>
      </c>
      <c r="D298" s="647" t="s">
        <v>1007</v>
      </c>
      <c r="F298" s="647"/>
      <c r="G298" s="647"/>
      <c r="H298" s="647"/>
      <c r="I298" s="647"/>
      <c r="J298" s="647"/>
      <c r="K298" s="647"/>
      <c r="L298" s="647"/>
      <c r="M298" s="647"/>
      <c r="N298" s="647"/>
      <c r="O298" s="647"/>
      <c r="P298" s="647"/>
      <c r="Q298" s="647"/>
      <c r="R298" s="647"/>
      <c r="S298" s="647"/>
      <c r="T298" s="647"/>
      <c r="U298" s="647"/>
      <c r="V298" s="647"/>
      <c r="W298" s="647"/>
      <c r="X298" s="647"/>
      <c r="Y298" s="647"/>
      <c r="Z298" s="647"/>
      <c r="AA298" s="647"/>
      <c r="AB298" s="647"/>
      <c r="AC298" s="647"/>
      <c r="AD298" s="647"/>
      <c r="AE298" s="647"/>
      <c r="AF298" s="647"/>
      <c r="AG298" s="647"/>
      <c r="AH298" s="647"/>
      <c r="AI298" s="647"/>
      <c r="AJ298" s="647"/>
      <c r="AK298" s="647"/>
      <c r="AL298" s="647"/>
      <c r="AM298" s="647"/>
      <c r="AN298" s="729"/>
      <c r="AO298" s="729"/>
      <c r="AP298" s="729"/>
      <c r="AQ298" s="729"/>
      <c r="AR298" s="729"/>
      <c r="AS298" s="729"/>
      <c r="AT298" s="729"/>
      <c r="AU298" s="729"/>
      <c r="AV298" s="729"/>
      <c r="AW298" s="729"/>
      <c r="AX298" s="729"/>
      <c r="AY298" s="729"/>
      <c r="AZ298" s="729"/>
      <c r="BA298" s="729"/>
      <c r="BB298" s="729"/>
      <c r="BC298" s="729"/>
      <c r="BD298" s="729"/>
      <c r="BE298" s="729"/>
      <c r="BF298" s="729"/>
      <c r="BG298" s="729"/>
      <c r="BH298" s="729"/>
      <c r="BI298" s="729"/>
      <c r="BJ298" s="729"/>
      <c r="BK298" s="729"/>
      <c r="BL298" s="729"/>
      <c r="BM298" s="729"/>
      <c r="BN298" s="729"/>
      <c r="BO298" s="729"/>
      <c r="BP298" s="729"/>
      <c r="BQ298" s="729"/>
      <c r="BR298" s="729"/>
      <c r="BS298" s="729"/>
      <c r="BT298" s="729"/>
      <c r="BU298" s="729"/>
      <c r="BV298" s="729"/>
      <c r="BW298" s="729"/>
      <c r="BX298" s="729"/>
      <c r="BY298" s="729"/>
      <c r="BZ298" s="729"/>
      <c r="CA298" s="729"/>
      <c r="CB298" s="729"/>
      <c r="CC298" s="729"/>
      <c r="CD298" s="729"/>
      <c r="CE298" s="729"/>
      <c r="CF298" s="729"/>
      <c r="CG298" s="729"/>
      <c r="CH298" s="729"/>
      <c r="CI298" s="729"/>
      <c r="CJ298" s="729"/>
      <c r="CK298" s="729"/>
      <c r="CL298" s="729"/>
      <c r="CM298" s="729"/>
      <c r="CN298" s="729"/>
    </row>
    <row r="299" spans="1:92">
      <c r="A299" s="646" t="s">
        <v>1001</v>
      </c>
      <c r="B299" s="647"/>
      <c r="C299" s="647"/>
      <c r="D299" s="647"/>
      <c r="F299" s="647"/>
      <c r="G299" s="647"/>
      <c r="H299" s="647"/>
      <c r="I299" s="647"/>
      <c r="J299" s="647"/>
      <c r="K299" s="647"/>
      <c r="L299" s="647"/>
      <c r="M299" s="647"/>
      <c r="N299" s="647"/>
      <c r="O299" s="647"/>
      <c r="P299" s="647"/>
      <c r="Q299" s="647"/>
      <c r="R299" s="647"/>
      <c r="S299" s="647"/>
      <c r="T299" s="647"/>
      <c r="U299" s="647"/>
      <c r="V299" s="647"/>
      <c r="W299" s="647"/>
      <c r="X299" s="647"/>
      <c r="Y299" s="647"/>
      <c r="Z299" s="647"/>
      <c r="AA299" s="647"/>
      <c r="AB299" s="647"/>
      <c r="AC299" s="647"/>
      <c r="AD299" s="647"/>
      <c r="AE299" s="647"/>
      <c r="AF299" s="647"/>
      <c r="AG299" s="647"/>
      <c r="AH299" s="647"/>
      <c r="AI299" s="647"/>
      <c r="AJ299" s="647"/>
      <c r="AK299" s="647"/>
      <c r="AL299" s="647"/>
      <c r="AM299" s="647"/>
      <c r="AN299" s="647"/>
      <c r="AO299" s="647"/>
      <c r="AP299" s="647"/>
      <c r="AQ299" s="647"/>
      <c r="AR299" s="647"/>
      <c r="AS299" s="647"/>
      <c r="AT299" s="647"/>
      <c r="AU299" s="647"/>
      <c r="AV299" s="647"/>
      <c r="AW299" s="647"/>
      <c r="AX299" s="647"/>
      <c r="AY299" s="647"/>
      <c r="AZ299" s="647"/>
      <c r="BA299" s="647"/>
      <c r="BB299" s="647"/>
      <c r="BC299" s="647"/>
      <c r="BD299" s="647"/>
      <c r="BE299" s="647"/>
      <c r="BF299" s="647"/>
      <c r="BG299" s="647"/>
      <c r="BH299" s="647"/>
      <c r="BI299" s="647"/>
      <c r="BJ299" s="647"/>
      <c r="BK299" s="647"/>
      <c r="BL299" s="647"/>
      <c r="BM299" s="647"/>
      <c r="BN299" s="647"/>
      <c r="BO299" s="647"/>
      <c r="BP299" s="647"/>
      <c r="BQ299" s="647"/>
      <c r="BR299" s="647"/>
      <c r="BS299" s="647"/>
      <c r="BT299" s="647"/>
      <c r="BU299" s="647"/>
      <c r="BV299" s="647"/>
      <c r="BW299" s="647"/>
      <c r="BX299" s="647"/>
      <c r="BY299" s="647"/>
      <c r="BZ299" s="647"/>
      <c r="CA299" s="647"/>
      <c r="CB299" s="647"/>
      <c r="CC299" s="647"/>
      <c r="CD299" s="647"/>
      <c r="CE299" s="647"/>
      <c r="CF299" s="647"/>
      <c r="CG299" s="647"/>
      <c r="CH299" s="647"/>
      <c r="CI299" s="647"/>
      <c r="CJ299" s="647"/>
      <c r="CK299" s="647"/>
      <c r="CL299" s="647"/>
      <c r="CM299" s="647"/>
      <c r="CN299" s="647"/>
    </row>
    <row r="300" spans="1:92">
      <c r="A300" s="647"/>
      <c r="B300" s="646" t="s">
        <v>1145</v>
      </c>
      <c r="C300" s="647"/>
      <c r="D300" s="647"/>
      <c r="F300" s="647"/>
      <c r="G300" s="647"/>
      <c r="H300" s="647"/>
      <c r="I300" s="647"/>
      <c r="J300" s="647"/>
      <c r="K300" s="647"/>
      <c r="L300" s="647"/>
      <c r="M300" s="647"/>
      <c r="N300" s="647"/>
      <c r="O300" s="647"/>
      <c r="P300" s="647"/>
      <c r="Q300" s="647"/>
      <c r="R300" s="647"/>
      <c r="S300" s="647"/>
      <c r="T300" s="647"/>
      <c r="U300" s="647"/>
      <c r="V300" s="647"/>
      <c r="W300" s="647"/>
      <c r="X300" s="647"/>
      <c r="Y300" s="647"/>
      <c r="Z300" s="647"/>
      <c r="AA300" s="647"/>
      <c r="AB300" s="647"/>
      <c r="AC300" s="647"/>
      <c r="AD300" s="647"/>
      <c r="AE300" s="647"/>
      <c r="AF300" s="647"/>
      <c r="AG300" s="647"/>
      <c r="AH300" s="647"/>
      <c r="AI300" s="647"/>
      <c r="AJ300" s="647"/>
      <c r="AK300" s="647"/>
      <c r="AL300" s="647"/>
      <c r="AM300" s="647"/>
      <c r="AN300" s="647"/>
      <c r="AO300" s="647"/>
      <c r="AP300" s="647"/>
      <c r="AQ300" s="647"/>
      <c r="AR300" s="647"/>
      <c r="AS300" s="647"/>
      <c r="AT300" s="647"/>
      <c r="AU300" s="647"/>
      <c r="AV300" s="647"/>
      <c r="AW300" s="647"/>
      <c r="AX300" s="647"/>
      <c r="AY300" s="647"/>
      <c r="AZ300" s="647"/>
      <c r="BA300" s="647"/>
      <c r="BB300" s="647"/>
      <c r="BC300" s="647"/>
      <c r="BD300" s="647"/>
      <c r="BE300" s="647"/>
      <c r="BF300" s="647"/>
      <c r="BG300" s="647"/>
      <c r="BH300" s="647"/>
      <c r="BI300" s="647"/>
      <c r="BJ300" s="647"/>
      <c r="BK300" s="647"/>
      <c r="BL300" s="647"/>
      <c r="BM300" s="647"/>
      <c r="BN300" s="647"/>
      <c r="BO300" s="647"/>
      <c r="BP300" s="647"/>
      <c r="BQ300" s="647"/>
      <c r="BR300" s="647"/>
      <c r="BS300" s="647"/>
      <c r="BT300" s="647"/>
      <c r="BU300" s="647"/>
      <c r="BV300" s="647"/>
      <c r="BW300" s="647"/>
      <c r="BX300" s="647"/>
      <c r="BY300" s="647"/>
      <c r="BZ300" s="647"/>
      <c r="CA300" s="647"/>
      <c r="CB300" s="647"/>
      <c r="CC300" s="647"/>
      <c r="CD300" s="647"/>
      <c r="CE300" s="647"/>
      <c r="CF300" s="647"/>
      <c r="CG300" s="647"/>
      <c r="CH300" s="647"/>
      <c r="CI300" s="647"/>
      <c r="CJ300" s="647"/>
      <c r="CK300" s="647"/>
      <c r="CL300" s="647"/>
      <c r="CM300" s="647"/>
      <c r="CN300" s="647"/>
    </row>
    <row r="301" spans="1:92">
      <c r="A301" s="647"/>
      <c r="B301" s="647"/>
      <c r="C301" s="647"/>
      <c r="D301" s="647"/>
      <c r="E301" s="649"/>
      <c r="F301" s="647"/>
      <c r="G301" s="647"/>
      <c r="H301" s="647"/>
      <c r="I301" s="647"/>
      <c r="J301" s="647"/>
      <c r="K301" s="647"/>
      <c r="L301" s="647"/>
      <c r="M301" s="647"/>
      <c r="N301" s="647"/>
      <c r="O301" s="647"/>
      <c r="P301" s="647"/>
      <c r="Q301" s="647"/>
      <c r="R301" s="647"/>
      <c r="S301" s="647"/>
      <c r="T301" s="647"/>
      <c r="U301" s="647"/>
      <c r="V301" s="647"/>
      <c r="W301" s="647"/>
      <c r="X301" s="647"/>
      <c r="Y301" s="647"/>
      <c r="Z301" s="647"/>
      <c r="AA301" s="647"/>
      <c r="AB301" s="647"/>
      <c r="AC301" s="647"/>
      <c r="AD301" s="647"/>
      <c r="AE301" s="647"/>
      <c r="AF301" s="647"/>
      <c r="AG301" s="647"/>
      <c r="AH301" s="647"/>
      <c r="AI301" s="647"/>
      <c r="AJ301" s="647"/>
      <c r="AK301" s="647"/>
      <c r="AL301" s="647"/>
      <c r="AM301" s="647"/>
      <c r="AN301" s="647"/>
      <c r="AO301" s="647"/>
      <c r="AP301" s="647"/>
      <c r="AQ301" s="647"/>
      <c r="AR301" s="647"/>
      <c r="AS301" s="647"/>
      <c r="AT301" s="647"/>
      <c r="AU301" s="647"/>
      <c r="AV301" s="647"/>
      <c r="AW301" s="647"/>
      <c r="AX301" s="647"/>
      <c r="AY301" s="647"/>
      <c r="AZ301" s="647"/>
      <c r="BA301" s="647"/>
      <c r="BB301" s="647"/>
      <c r="BC301" s="647"/>
      <c r="BD301" s="647"/>
      <c r="BE301" s="647"/>
      <c r="BF301" s="647"/>
      <c r="BG301" s="647"/>
      <c r="BH301" s="647"/>
      <c r="BI301" s="647"/>
      <c r="BJ301" s="647"/>
      <c r="BK301" s="647"/>
      <c r="BL301" s="647"/>
      <c r="BM301" s="647"/>
      <c r="BN301" s="647"/>
      <c r="BO301" s="647"/>
      <c r="BP301" s="647"/>
      <c r="BQ301" s="647"/>
      <c r="BR301" s="647"/>
      <c r="BS301" s="647"/>
      <c r="BT301" s="647"/>
      <c r="BU301" s="647"/>
      <c r="BV301" s="647"/>
      <c r="BW301" s="647"/>
      <c r="BX301" s="647"/>
      <c r="BY301" s="647"/>
      <c r="BZ301" s="647"/>
      <c r="CA301" s="647"/>
      <c r="CB301" s="647"/>
      <c r="CC301" s="647"/>
      <c r="CD301" s="647"/>
      <c r="CE301" s="647"/>
      <c r="CF301" s="647"/>
      <c r="CG301" s="647"/>
      <c r="CH301" s="647"/>
      <c r="CI301" s="647"/>
      <c r="CJ301" s="647"/>
      <c r="CK301" s="647"/>
      <c r="CL301" s="647"/>
      <c r="CM301" s="647"/>
      <c r="CN301" s="647"/>
    </row>
    <row r="302" spans="1:92">
      <c r="A302" s="647"/>
      <c r="B302" s="661" t="s">
        <v>99</v>
      </c>
      <c r="C302" s="661" t="s">
        <v>65</v>
      </c>
      <c r="D302" s="661" t="s">
        <v>1146</v>
      </c>
      <c r="E302" s="662" t="s">
        <v>1146</v>
      </c>
      <c r="F302" s="647"/>
      <c r="G302" s="647"/>
      <c r="H302" s="647"/>
      <c r="I302" s="647"/>
      <c r="J302" s="647"/>
      <c r="K302" s="647"/>
      <c r="L302" s="647"/>
      <c r="M302" s="647"/>
      <c r="N302" s="647"/>
      <c r="O302" s="647"/>
      <c r="P302" s="647"/>
      <c r="Q302" s="647"/>
      <c r="R302" s="647"/>
      <c r="S302" s="647"/>
      <c r="T302" s="647"/>
      <c r="U302" s="647"/>
      <c r="V302" s="647"/>
      <c r="W302" s="647"/>
      <c r="X302" s="647"/>
      <c r="Y302" s="647"/>
      <c r="Z302" s="647"/>
      <c r="AA302" s="647"/>
      <c r="AB302" s="647"/>
      <c r="AC302" s="647"/>
      <c r="AD302" s="647"/>
      <c r="AE302" s="647"/>
      <c r="AF302" s="647"/>
      <c r="AG302" s="647"/>
      <c r="AH302" s="647"/>
      <c r="AI302" s="647"/>
      <c r="AJ302" s="647"/>
      <c r="AK302" s="647"/>
      <c r="AL302" s="647"/>
      <c r="AM302" s="647"/>
      <c r="AN302" s="647"/>
      <c r="AO302" s="647"/>
      <c r="AP302" s="647"/>
      <c r="AQ302" s="647"/>
      <c r="AR302" s="647"/>
      <c r="AS302" s="647"/>
      <c r="AT302" s="647"/>
      <c r="AU302" s="647"/>
      <c r="AV302" s="647"/>
      <c r="AW302" s="647"/>
      <c r="AX302" s="647"/>
      <c r="AY302" s="647"/>
      <c r="AZ302" s="647"/>
      <c r="BA302" s="647"/>
      <c r="BB302" s="647"/>
      <c r="BC302" s="647"/>
      <c r="BD302" s="647"/>
      <c r="BE302" s="647"/>
      <c r="BF302" s="647"/>
      <c r="BG302" s="647"/>
      <c r="BH302" s="647"/>
      <c r="BI302" s="647"/>
      <c r="BJ302" s="647"/>
      <c r="BK302" s="647"/>
      <c r="BL302" s="647"/>
      <c r="BM302" s="647"/>
      <c r="BN302" s="647"/>
      <c r="BO302" s="647"/>
      <c r="BP302" s="647"/>
      <c r="BQ302" s="647"/>
      <c r="BR302" s="647"/>
      <c r="BS302" s="647"/>
      <c r="BT302" s="647"/>
      <c r="BU302" s="647"/>
      <c r="BV302" s="647"/>
      <c r="BW302" s="647"/>
      <c r="BX302" s="647"/>
      <c r="BY302" s="647"/>
      <c r="BZ302" s="647"/>
      <c r="CA302" s="647"/>
      <c r="CB302" s="647"/>
      <c r="CC302" s="647"/>
      <c r="CD302" s="647"/>
      <c r="CE302" s="647"/>
      <c r="CF302" s="647"/>
      <c r="CG302" s="647"/>
      <c r="CH302" s="647"/>
      <c r="CI302" s="647"/>
      <c r="CJ302" s="647"/>
      <c r="CK302" s="647"/>
      <c r="CL302" s="647"/>
      <c r="CM302" s="647"/>
      <c r="CN302" s="647"/>
    </row>
    <row r="303" spans="1:92" ht="24">
      <c r="A303" s="647"/>
      <c r="B303" s="663" t="s">
        <v>1027</v>
      </c>
      <c r="C303" s="663" t="s">
        <v>1147</v>
      </c>
      <c r="D303" s="664">
        <v>0</v>
      </c>
      <c r="E303" s="665">
        <v>0</v>
      </c>
      <c r="F303" s="647"/>
      <c r="G303" s="647"/>
      <c r="H303" s="647"/>
      <c r="I303" s="647"/>
      <c r="J303" s="647"/>
      <c r="K303" s="647"/>
      <c r="L303" s="647"/>
      <c r="M303" s="647"/>
      <c r="N303" s="647"/>
      <c r="O303" s="647"/>
      <c r="P303" s="647"/>
      <c r="Q303" s="647"/>
      <c r="R303" s="647"/>
      <c r="S303" s="647"/>
      <c r="T303" s="647"/>
      <c r="U303" s="647"/>
      <c r="V303" s="647"/>
      <c r="W303" s="647"/>
      <c r="X303" s="647"/>
      <c r="Y303" s="647"/>
      <c r="Z303" s="647"/>
      <c r="AA303" s="647"/>
      <c r="AB303" s="647"/>
      <c r="AC303" s="647"/>
      <c r="AD303" s="647"/>
      <c r="AE303" s="647"/>
      <c r="AF303" s="647"/>
      <c r="AG303" s="647"/>
      <c r="AH303" s="647"/>
      <c r="AI303" s="647"/>
      <c r="AJ303" s="647"/>
      <c r="AK303" s="647"/>
      <c r="AL303" s="647"/>
      <c r="AM303" s="647"/>
      <c r="AN303" s="647"/>
      <c r="AO303" s="647"/>
      <c r="AP303" s="647"/>
      <c r="AQ303" s="647"/>
      <c r="AR303" s="647"/>
      <c r="AS303" s="647"/>
      <c r="AT303" s="647"/>
      <c r="AU303" s="647"/>
      <c r="AV303" s="647"/>
      <c r="AW303" s="647"/>
      <c r="AX303" s="647"/>
      <c r="AY303" s="647"/>
      <c r="AZ303" s="647"/>
      <c r="BA303" s="647"/>
      <c r="BB303" s="647"/>
      <c r="BC303" s="647"/>
      <c r="BD303" s="647"/>
      <c r="BE303" s="647"/>
      <c r="BF303" s="647"/>
      <c r="BG303" s="647"/>
      <c r="BH303" s="647"/>
      <c r="BI303" s="647"/>
      <c r="BJ303" s="647"/>
      <c r="BK303" s="647"/>
      <c r="BL303" s="647"/>
      <c r="BM303" s="647"/>
      <c r="BN303" s="647"/>
      <c r="BO303" s="647"/>
      <c r="BP303" s="647"/>
      <c r="BQ303" s="647"/>
      <c r="BR303" s="647"/>
      <c r="BS303" s="647"/>
      <c r="BT303" s="647"/>
      <c r="BU303" s="647"/>
      <c r="BV303" s="647"/>
      <c r="BW303" s="647"/>
      <c r="BX303" s="647"/>
      <c r="BY303" s="647"/>
      <c r="BZ303" s="647"/>
      <c r="CA303" s="647"/>
      <c r="CB303" s="647"/>
      <c r="CC303" s="647"/>
      <c r="CD303" s="647"/>
      <c r="CE303" s="647"/>
      <c r="CF303" s="647"/>
      <c r="CG303" s="647"/>
      <c r="CH303" s="647"/>
      <c r="CI303" s="647"/>
      <c r="CJ303" s="647"/>
      <c r="CK303" s="647"/>
      <c r="CL303" s="647"/>
      <c r="CM303" s="647"/>
      <c r="CN303" s="647"/>
    </row>
    <row r="304" spans="1:92" ht="36">
      <c r="B304" s="663" t="s">
        <v>1010</v>
      </c>
      <c r="C304" s="663" t="s">
        <v>1148</v>
      </c>
      <c r="D304" s="664">
        <v>0</v>
      </c>
      <c r="E304" s="665">
        <v>0</v>
      </c>
      <c r="G304" s="13"/>
      <c r="I304" s="13"/>
    </row>
    <row r="305" spans="1:92" ht="24">
      <c r="B305" s="663" t="s">
        <v>1071</v>
      </c>
      <c r="C305" s="663" t="s">
        <v>1149</v>
      </c>
      <c r="D305" s="664">
        <v>0</v>
      </c>
      <c r="E305" s="665">
        <v>0</v>
      </c>
      <c r="G305" s="13"/>
      <c r="I305" s="13"/>
    </row>
    <row r="306" spans="1:92">
      <c r="B306" s="663" t="s">
        <v>1076</v>
      </c>
      <c r="C306" s="663" t="s">
        <v>1150</v>
      </c>
      <c r="D306" s="664">
        <v>0</v>
      </c>
      <c r="E306" s="665">
        <v>0</v>
      </c>
      <c r="G306" s="13"/>
      <c r="I306" s="13"/>
    </row>
    <row r="307" spans="1:92">
      <c r="B307" s="663" t="s">
        <v>1078</v>
      </c>
      <c r="C307" s="663" t="s">
        <v>9</v>
      </c>
      <c r="D307" s="664">
        <v>0</v>
      </c>
      <c r="E307" s="665">
        <v>0</v>
      </c>
      <c r="G307" s="13"/>
      <c r="I307" s="13"/>
    </row>
    <row r="308" spans="1:92" ht="24">
      <c r="B308" s="663" t="s">
        <v>1080</v>
      </c>
      <c r="C308" s="663" t="s">
        <v>1151</v>
      </c>
      <c r="D308" s="664">
        <v>0</v>
      </c>
      <c r="E308" s="665">
        <v>0</v>
      </c>
      <c r="G308" s="13"/>
      <c r="I308" s="13"/>
    </row>
    <row r="309" spans="1:92" ht="24">
      <c r="B309" s="663" t="s">
        <v>1152</v>
      </c>
      <c r="C309" s="663" t="s">
        <v>1153</v>
      </c>
      <c r="D309" s="664">
        <v>0</v>
      </c>
      <c r="E309" s="665">
        <v>0</v>
      </c>
      <c r="G309" s="13"/>
      <c r="I309" s="13"/>
    </row>
    <row r="310" spans="1:92">
      <c r="B310" s="663" t="s">
        <v>1131</v>
      </c>
      <c r="C310" s="663" t="s">
        <v>1154</v>
      </c>
      <c r="D310" s="664">
        <v>0</v>
      </c>
      <c r="E310" s="665">
        <v>0</v>
      </c>
      <c r="G310" s="13"/>
      <c r="I310" s="13"/>
    </row>
    <row r="311" spans="1:92" ht="24">
      <c r="B311" s="663" t="s">
        <v>1155</v>
      </c>
      <c r="C311" s="663" t="s">
        <v>1156</v>
      </c>
      <c r="D311" s="664">
        <v>0</v>
      </c>
      <c r="E311" s="665">
        <v>0</v>
      </c>
      <c r="G311" s="13"/>
      <c r="I311" s="13"/>
    </row>
    <row r="312" spans="1:92">
      <c r="B312" s="663" t="s">
        <v>1157</v>
      </c>
      <c r="C312" s="663" t="s">
        <v>1158</v>
      </c>
      <c r="D312" s="664">
        <v>0</v>
      </c>
      <c r="E312" s="665">
        <v>0</v>
      </c>
      <c r="G312" s="13"/>
      <c r="I312" s="13"/>
    </row>
    <row r="313" spans="1:92">
      <c r="B313" s="663" t="s">
        <v>1159</v>
      </c>
      <c r="C313" s="663" t="s">
        <v>1160</v>
      </c>
      <c r="D313" s="664">
        <v>0</v>
      </c>
      <c r="E313" s="665">
        <v>0</v>
      </c>
      <c r="G313" s="13"/>
      <c r="I313" s="13"/>
    </row>
    <row r="314" spans="1:92">
      <c r="B314" s="663" t="s">
        <v>1161</v>
      </c>
      <c r="C314" s="663" t="s">
        <v>1162</v>
      </c>
      <c r="D314" s="664">
        <v>0</v>
      </c>
      <c r="E314" s="665">
        <v>0</v>
      </c>
      <c r="F314" s="649"/>
      <c r="G314" s="13"/>
      <c r="I314" s="13"/>
    </row>
    <row r="315" spans="1:92" ht="24">
      <c r="B315" s="663" t="s">
        <v>1163</v>
      </c>
      <c r="C315" s="663" t="s">
        <v>1164</v>
      </c>
      <c r="D315" s="664">
        <v>0</v>
      </c>
      <c r="E315" s="665">
        <v>0</v>
      </c>
      <c r="F315" s="662"/>
      <c r="G315" s="13"/>
      <c r="I315" s="13"/>
    </row>
    <row r="316" spans="1:92">
      <c r="B316" s="663" t="s">
        <v>1165</v>
      </c>
      <c r="C316" s="663" t="s">
        <v>8</v>
      </c>
      <c r="D316" s="664">
        <v>0</v>
      </c>
      <c r="E316" s="665">
        <v>0</v>
      </c>
      <c r="F316" s="665"/>
      <c r="G316" s="13"/>
      <c r="I316" s="13"/>
    </row>
    <row r="317" spans="1:92" ht="24">
      <c r="B317" s="663" t="s">
        <v>1166</v>
      </c>
      <c r="C317" s="663" t="s">
        <v>1167</v>
      </c>
      <c r="D317" s="664">
        <v>0</v>
      </c>
      <c r="E317" s="665">
        <v>0</v>
      </c>
      <c r="G317" s="13"/>
      <c r="I317" s="13"/>
    </row>
    <row r="318" spans="1:92" ht="24">
      <c r="B318" s="663" t="s">
        <v>1168</v>
      </c>
      <c r="C318" s="663" t="s">
        <v>1169</v>
      </c>
      <c r="D318" s="664">
        <v>0</v>
      </c>
      <c r="E318" s="665">
        <v>0</v>
      </c>
      <c r="G318" s="13"/>
      <c r="I318" s="13"/>
    </row>
    <row r="319" spans="1:92">
      <c r="B319" s="663" t="s">
        <v>1170</v>
      </c>
      <c r="C319" s="663" t="s">
        <v>632</v>
      </c>
      <c r="D319" s="664">
        <v>0</v>
      </c>
      <c r="E319" s="665">
        <v>0</v>
      </c>
      <c r="G319" s="13"/>
      <c r="I319" s="13"/>
    </row>
    <row r="320" spans="1:92">
      <c r="A320" s="647"/>
      <c r="B320" s="663" t="s">
        <v>1171</v>
      </c>
      <c r="C320" s="663" t="s">
        <v>1172</v>
      </c>
      <c r="D320" s="664">
        <v>0</v>
      </c>
      <c r="E320" s="665">
        <v>0</v>
      </c>
      <c r="F320" s="647"/>
      <c r="G320" s="647"/>
      <c r="H320" s="647"/>
      <c r="I320" s="647"/>
      <c r="J320" s="647"/>
      <c r="K320" s="647"/>
      <c r="L320" s="647"/>
      <c r="M320" s="647"/>
      <c r="N320" s="647"/>
      <c r="O320" s="647"/>
      <c r="P320" s="647"/>
      <c r="Q320" s="647"/>
      <c r="R320" s="647"/>
      <c r="S320" s="647"/>
      <c r="T320" s="647"/>
      <c r="U320" s="647"/>
      <c r="V320" s="647"/>
      <c r="W320" s="647"/>
      <c r="X320" s="647"/>
      <c r="Y320" s="647"/>
      <c r="Z320" s="647"/>
      <c r="AA320" s="647"/>
      <c r="AB320" s="647"/>
      <c r="AC320" s="647"/>
      <c r="AD320" s="647"/>
      <c r="AE320" s="647"/>
      <c r="AF320" s="647"/>
      <c r="AG320" s="647"/>
      <c r="AH320" s="647"/>
      <c r="AI320" s="647"/>
      <c r="AJ320" s="647"/>
      <c r="AK320" s="647"/>
      <c r="AL320" s="647"/>
      <c r="AM320" s="647"/>
      <c r="AN320" s="647"/>
      <c r="AO320" s="647"/>
      <c r="AP320" s="647"/>
      <c r="AQ320" s="647"/>
      <c r="AR320" s="647"/>
      <c r="AS320" s="647"/>
      <c r="AT320" s="647"/>
      <c r="AU320" s="647"/>
      <c r="AV320" s="647"/>
      <c r="AW320" s="647"/>
      <c r="AX320" s="647"/>
      <c r="AY320" s="647"/>
      <c r="AZ320" s="647"/>
      <c r="BA320" s="647"/>
      <c r="BB320" s="647"/>
      <c r="BC320" s="647"/>
      <c r="BD320" s="647"/>
      <c r="BE320" s="647"/>
      <c r="BF320" s="647"/>
      <c r="BG320" s="647"/>
      <c r="BH320" s="647"/>
      <c r="BI320" s="647"/>
      <c r="BJ320" s="647"/>
      <c r="BK320" s="647"/>
      <c r="BL320" s="647"/>
      <c r="BM320" s="647"/>
      <c r="BN320" s="647"/>
      <c r="BO320" s="647"/>
      <c r="BP320" s="647"/>
      <c r="BQ320" s="647"/>
      <c r="BR320" s="647"/>
      <c r="BS320" s="647"/>
      <c r="BT320" s="647"/>
      <c r="BU320" s="647"/>
      <c r="BV320" s="647"/>
      <c r="BW320" s="647"/>
      <c r="BX320" s="647"/>
      <c r="BY320" s="647"/>
      <c r="BZ320" s="647"/>
      <c r="CA320" s="647"/>
      <c r="CB320" s="647"/>
      <c r="CC320" s="647"/>
      <c r="CD320" s="647"/>
      <c r="CE320" s="647"/>
      <c r="CF320" s="647"/>
      <c r="CG320" s="647"/>
      <c r="CH320" s="647"/>
      <c r="CI320" s="647"/>
      <c r="CJ320" s="647"/>
      <c r="CK320" s="647"/>
      <c r="CL320" s="647"/>
      <c r="CM320" s="647"/>
      <c r="CN320" s="647"/>
    </row>
    <row r="321" spans="1:92">
      <c r="A321" s="647"/>
      <c r="B321" s="663" t="s">
        <v>1173</v>
      </c>
      <c r="C321" s="663" t="s">
        <v>1174</v>
      </c>
      <c r="D321" s="664">
        <v>0</v>
      </c>
      <c r="E321" s="665">
        <v>0</v>
      </c>
      <c r="F321" s="647"/>
      <c r="G321" s="647"/>
      <c r="H321" s="647"/>
      <c r="I321" s="647"/>
      <c r="J321" s="647"/>
      <c r="K321" s="647"/>
      <c r="L321" s="647"/>
      <c r="M321" s="647"/>
      <c r="N321" s="647"/>
      <c r="O321" s="647"/>
      <c r="P321" s="647"/>
      <c r="Q321" s="647"/>
      <c r="R321" s="647"/>
      <c r="S321" s="647"/>
      <c r="T321" s="647"/>
      <c r="U321" s="647"/>
      <c r="V321" s="647"/>
      <c r="W321" s="647"/>
      <c r="X321" s="647"/>
      <c r="Y321" s="647"/>
      <c r="Z321" s="647"/>
      <c r="AA321" s="647"/>
      <c r="AB321" s="647"/>
      <c r="AC321" s="647"/>
      <c r="AD321" s="647"/>
      <c r="AE321" s="647"/>
      <c r="AF321" s="647"/>
      <c r="AG321" s="647"/>
      <c r="AH321" s="647"/>
      <c r="AI321" s="647"/>
      <c r="AJ321" s="647"/>
      <c r="AK321" s="647"/>
      <c r="AL321" s="647"/>
      <c r="AM321" s="647"/>
      <c r="AN321" s="647"/>
      <c r="AO321" s="647"/>
      <c r="AP321" s="647"/>
      <c r="AQ321" s="647"/>
      <c r="AR321" s="647"/>
      <c r="AS321" s="647"/>
      <c r="AT321" s="647"/>
      <c r="AU321" s="647"/>
      <c r="AV321" s="647"/>
      <c r="AW321" s="647"/>
      <c r="AX321" s="647"/>
      <c r="AY321" s="647"/>
      <c r="AZ321" s="647"/>
      <c r="BA321" s="647"/>
      <c r="BB321" s="647"/>
      <c r="BC321" s="647"/>
      <c r="BD321" s="647"/>
      <c r="BE321" s="647"/>
      <c r="BF321" s="647"/>
      <c r="BG321" s="647"/>
      <c r="BH321" s="647"/>
      <c r="BI321" s="647"/>
      <c r="BJ321" s="647"/>
      <c r="BK321" s="647"/>
      <c r="BL321" s="647"/>
      <c r="BM321" s="647"/>
      <c r="BN321" s="647"/>
      <c r="BO321" s="647"/>
      <c r="BP321" s="647"/>
      <c r="BQ321" s="647"/>
      <c r="BR321" s="647"/>
      <c r="BS321" s="647"/>
      <c r="BT321" s="647"/>
      <c r="BU321" s="647"/>
      <c r="BV321" s="647"/>
      <c r="BW321" s="647"/>
      <c r="BX321" s="647"/>
      <c r="BY321" s="647"/>
      <c r="BZ321" s="647"/>
      <c r="CA321" s="647"/>
      <c r="CB321" s="647"/>
      <c r="CC321" s="647"/>
      <c r="CD321" s="647"/>
      <c r="CE321" s="647"/>
      <c r="CF321" s="647"/>
      <c r="CG321" s="647"/>
      <c r="CH321" s="647"/>
      <c r="CI321" s="647"/>
      <c r="CJ321" s="647"/>
      <c r="CK321" s="647"/>
      <c r="CL321" s="647"/>
      <c r="CM321" s="647"/>
      <c r="CN321" s="647"/>
    </row>
    <row r="322" spans="1:92" ht="24">
      <c r="A322" s="647"/>
      <c r="B322" s="663" t="s">
        <v>1175</v>
      </c>
      <c r="C322" s="663" t="s">
        <v>407</v>
      </c>
      <c r="D322" s="664">
        <v>0</v>
      </c>
      <c r="E322" s="665">
        <v>0</v>
      </c>
      <c r="F322" s="647"/>
      <c r="G322" s="647"/>
      <c r="H322" s="647"/>
      <c r="I322" s="647"/>
      <c r="J322" s="647"/>
      <c r="K322" s="647"/>
      <c r="L322" s="647"/>
      <c r="M322" s="647"/>
      <c r="N322" s="647"/>
      <c r="O322" s="647"/>
      <c r="P322" s="647"/>
      <c r="Q322" s="647"/>
      <c r="R322" s="647"/>
      <c r="S322" s="647"/>
      <c r="T322" s="647"/>
      <c r="U322" s="647"/>
      <c r="V322" s="647"/>
      <c r="W322" s="647"/>
      <c r="X322" s="647"/>
      <c r="Y322" s="647"/>
      <c r="Z322" s="647"/>
      <c r="AA322" s="647"/>
      <c r="AB322" s="647"/>
      <c r="AC322" s="647"/>
      <c r="AD322" s="647"/>
      <c r="AE322" s="647"/>
      <c r="AF322" s="647"/>
      <c r="AG322" s="647"/>
      <c r="AH322" s="647"/>
      <c r="AI322" s="647"/>
      <c r="AJ322" s="647"/>
      <c r="AK322" s="647"/>
      <c r="AL322" s="647"/>
      <c r="AM322" s="647"/>
      <c r="AN322" s="647"/>
      <c r="AO322" s="647"/>
      <c r="AP322" s="647"/>
      <c r="AQ322" s="647"/>
      <c r="AR322" s="647"/>
      <c r="AS322" s="647"/>
      <c r="AT322" s="647"/>
      <c r="AU322" s="647"/>
      <c r="AV322" s="647"/>
      <c r="AW322" s="647"/>
      <c r="AX322" s="647"/>
      <c r="AY322" s="647"/>
      <c r="AZ322" s="647"/>
      <c r="BA322" s="647"/>
      <c r="BB322" s="647"/>
      <c r="BC322" s="647"/>
      <c r="BD322" s="647"/>
      <c r="BE322" s="647"/>
      <c r="BF322" s="647"/>
      <c r="BG322" s="647"/>
      <c r="BH322" s="647"/>
      <c r="BI322" s="647"/>
      <c r="BJ322" s="647"/>
      <c r="BK322" s="647"/>
      <c r="BL322" s="647"/>
      <c r="BM322" s="647"/>
      <c r="BN322" s="647"/>
      <c r="BO322" s="647"/>
      <c r="BP322" s="647"/>
      <c r="BQ322" s="647"/>
      <c r="BR322" s="647"/>
      <c r="BS322" s="647"/>
      <c r="BT322" s="647"/>
      <c r="BU322" s="647"/>
      <c r="BV322" s="647"/>
      <c r="BW322" s="647"/>
      <c r="BX322" s="647"/>
      <c r="BY322" s="647"/>
      <c r="BZ322" s="647"/>
      <c r="CA322" s="647"/>
      <c r="CB322" s="647"/>
      <c r="CC322" s="647"/>
      <c r="CD322" s="647"/>
      <c r="CE322" s="647"/>
      <c r="CF322" s="647"/>
      <c r="CG322" s="647"/>
      <c r="CH322" s="647"/>
      <c r="CI322" s="647"/>
      <c r="CJ322" s="647"/>
      <c r="CK322" s="647"/>
      <c r="CL322" s="647"/>
      <c r="CM322" s="647"/>
      <c r="CN322" s="647"/>
    </row>
    <row r="323" spans="1:92">
      <c r="A323" s="647"/>
      <c r="B323" s="663" t="s">
        <v>1176</v>
      </c>
      <c r="C323" s="663"/>
      <c r="D323" s="664">
        <v>0</v>
      </c>
      <c r="E323" s="665">
        <v>0</v>
      </c>
      <c r="F323" s="647"/>
      <c r="G323" s="647"/>
      <c r="H323" s="647"/>
      <c r="I323" s="647"/>
      <c r="J323" s="647"/>
      <c r="K323" s="647"/>
      <c r="L323" s="647"/>
      <c r="M323" s="647"/>
      <c r="N323" s="647"/>
      <c r="O323" s="647"/>
      <c r="P323" s="647"/>
      <c r="Q323" s="647"/>
      <c r="R323" s="647"/>
      <c r="S323" s="647"/>
      <c r="T323" s="647"/>
      <c r="U323" s="647"/>
      <c r="V323" s="647"/>
      <c r="W323" s="647"/>
      <c r="X323" s="647"/>
      <c r="Y323" s="647"/>
      <c r="Z323" s="647"/>
      <c r="AA323" s="647"/>
      <c r="AB323" s="647"/>
      <c r="AC323" s="647"/>
      <c r="AD323" s="647"/>
      <c r="AE323" s="647"/>
      <c r="AF323" s="647"/>
      <c r="AG323" s="647"/>
      <c r="AH323" s="647"/>
      <c r="AI323" s="647"/>
      <c r="AJ323" s="647"/>
      <c r="AK323" s="647"/>
      <c r="AL323" s="647"/>
      <c r="AM323" s="647"/>
      <c r="AN323" s="647"/>
      <c r="AO323" s="647"/>
      <c r="AP323" s="647"/>
      <c r="AQ323" s="647"/>
      <c r="AR323" s="647"/>
      <c r="AS323" s="647"/>
      <c r="AT323" s="647"/>
      <c r="AU323" s="647"/>
      <c r="AV323" s="647"/>
      <c r="AW323" s="647"/>
      <c r="AX323" s="647"/>
      <c r="AY323" s="647"/>
      <c r="AZ323" s="647"/>
      <c r="BA323" s="647"/>
      <c r="BB323" s="647"/>
      <c r="BC323" s="647"/>
      <c r="BD323" s="647"/>
      <c r="BE323" s="647"/>
      <c r="BF323" s="647"/>
      <c r="BG323" s="647"/>
      <c r="BH323" s="647"/>
      <c r="BI323" s="647"/>
      <c r="BJ323" s="647"/>
      <c r="BK323" s="647"/>
      <c r="BL323" s="647"/>
      <c r="BM323" s="647"/>
      <c r="BN323" s="647"/>
      <c r="BO323" s="647"/>
      <c r="BP323" s="647"/>
      <c r="BQ323" s="647"/>
      <c r="BR323" s="647"/>
      <c r="BS323" s="647"/>
      <c r="BT323" s="647"/>
      <c r="BU323" s="647"/>
      <c r="BV323" s="647"/>
      <c r="BW323" s="647"/>
      <c r="BX323" s="647"/>
      <c r="BY323" s="647"/>
      <c r="BZ323" s="647"/>
      <c r="CA323" s="647"/>
      <c r="CB323" s="647"/>
      <c r="CC323" s="647"/>
      <c r="CD323" s="647"/>
      <c r="CE323" s="647"/>
      <c r="CF323" s="647"/>
      <c r="CG323" s="647"/>
      <c r="CH323" s="647"/>
      <c r="CI323" s="647"/>
      <c r="CJ323" s="647"/>
      <c r="CK323" s="647"/>
      <c r="CL323" s="647"/>
      <c r="CM323" s="647"/>
      <c r="CN323" s="647"/>
    </row>
    <row r="324" spans="1:92">
      <c r="A324" s="647"/>
      <c r="B324" s="663" t="s">
        <v>1007</v>
      </c>
      <c r="C324" s="666" t="s">
        <v>95</v>
      </c>
      <c r="D324" s="664">
        <v>0</v>
      </c>
      <c r="E324" s="665">
        <v>0</v>
      </c>
      <c r="F324" s="647"/>
      <c r="G324" s="647"/>
      <c r="H324" s="647"/>
      <c r="I324" s="647"/>
      <c r="J324" s="647"/>
      <c r="K324" s="647"/>
      <c r="L324" s="647"/>
      <c r="M324" s="647"/>
      <c r="N324" s="647"/>
      <c r="O324" s="647"/>
      <c r="P324" s="647"/>
      <c r="Q324" s="647"/>
      <c r="R324" s="647"/>
      <c r="S324" s="647"/>
      <c r="T324" s="647"/>
      <c r="U324" s="647"/>
      <c r="V324" s="647"/>
      <c r="W324" s="647"/>
      <c r="X324" s="647"/>
      <c r="Y324" s="647"/>
      <c r="Z324" s="647"/>
      <c r="AA324" s="647"/>
      <c r="AB324" s="647"/>
      <c r="AC324" s="647"/>
      <c r="AD324" s="647"/>
      <c r="AE324" s="647"/>
      <c r="AF324" s="647"/>
      <c r="AG324" s="647"/>
      <c r="AH324" s="647"/>
      <c r="AI324" s="647"/>
      <c r="AJ324" s="647"/>
      <c r="AK324" s="647"/>
      <c r="AL324" s="647"/>
      <c r="AM324" s="647"/>
      <c r="AN324" s="647"/>
      <c r="AO324" s="647"/>
      <c r="AP324" s="647"/>
      <c r="AQ324" s="647"/>
      <c r="AR324" s="647"/>
      <c r="AS324" s="647"/>
      <c r="AT324" s="647"/>
      <c r="AU324" s="647"/>
      <c r="AV324" s="647"/>
      <c r="AW324" s="647"/>
      <c r="AX324" s="647"/>
      <c r="AY324" s="647"/>
      <c r="AZ324" s="647"/>
      <c r="BA324" s="647"/>
      <c r="BB324" s="647"/>
      <c r="BC324" s="647"/>
      <c r="BD324" s="647"/>
      <c r="BE324" s="647"/>
      <c r="BF324" s="647"/>
      <c r="BG324" s="647"/>
      <c r="BH324" s="647"/>
      <c r="BI324" s="647"/>
      <c r="BJ324" s="647"/>
      <c r="BK324" s="647"/>
      <c r="BL324" s="647"/>
      <c r="BM324" s="647"/>
      <c r="BN324" s="647"/>
      <c r="BO324" s="647"/>
      <c r="BP324" s="647"/>
      <c r="BQ324" s="647"/>
      <c r="BR324" s="647"/>
      <c r="BS324" s="647"/>
      <c r="BT324" s="647"/>
      <c r="BU324" s="647"/>
      <c r="BV324" s="647"/>
      <c r="BW324" s="647"/>
      <c r="BX324" s="647"/>
      <c r="BY324" s="647"/>
      <c r="BZ324" s="647"/>
      <c r="CA324" s="647"/>
      <c r="CB324" s="647"/>
      <c r="CC324" s="647"/>
      <c r="CD324" s="647"/>
      <c r="CE324" s="647"/>
      <c r="CF324" s="647"/>
      <c r="CG324" s="647"/>
      <c r="CH324" s="647"/>
      <c r="CI324" s="647"/>
      <c r="CJ324" s="647"/>
      <c r="CK324" s="647"/>
      <c r="CL324" s="647"/>
      <c r="CM324" s="647"/>
      <c r="CN324" s="647"/>
    </row>
    <row r="325" spans="1:92">
      <c r="A325" s="647" t="s">
        <v>1007</v>
      </c>
      <c r="B325" s="647" t="s">
        <v>1007</v>
      </c>
      <c r="C325" s="647" t="s">
        <v>1007</v>
      </c>
      <c r="D325" s="647" t="s">
        <v>1007</v>
      </c>
      <c r="F325" s="647"/>
      <c r="G325" s="647"/>
      <c r="H325" s="647"/>
      <c r="I325" s="647"/>
      <c r="J325" s="647"/>
      <c r="K325" s="647"/>
      <c r="L325" s="647"/>
      <c r="M325" s="647"/>
      <c r="N325" s="647"/>
      <c r="O325" s="647"/>
      <c r="P325" s="647"/>
      <c r="Q325" s="647"/>
      <c r="R325" s="647"/>
      <c r="S325" s="647"/>
      <c r="T325" s="647"/>
      <c r="U325" s="647"/>
      <c r="V325" s="647"/>
      <c r="W325" s="647"/>
      <c r="X325" s="647"/>
      <c r="Y325" s="647"/>
      <c r="Z325" s="647"/>
      <c r="AA325" s="647"/>
      <c r="AB325" s="647"/>
      <c r="AC325" s="647"/>
      <c r="AD325" s="647"/>
      <c r="AE325" s="647"/>
      <c r="AF325" s="647"/>
      <c r="AG325" s="647"/>
      <c r="AH325" s="647"/>
      <c r="AI325" s="647"/>
      <c r="AJ325" s="647"/>
      <c r="AK325" s="647"/>
      <c r="AL325" s="647"/>
      <c r="AM325" s="647"/>
      <c r="AN325" s="729"/>
      <c r="AO325" s="729"/>
      <c r="AP325" s="729"/>
      <c r="AQ325" s="729"/>
      <c r="AR325" s="729"/>
      <c r="AS325" s="729"/>
      <c r="AT325" s="729"/>
      <c r="AU325" s="729"/>
      <c r="AV325" s="729"/>
      <c r="AW325" s="729"/>
      <c r="AX325" s="729"/>
      <c r="AY325" s="729"/>
      <c r="AZ325" s="729"/>
      <c r="BA325" s="729"/>
      <c r="BB325" s="729"/>
      <c r="BC325" s="729"/>
      <c r="BD325" s="729"/>
      <c r="BE325" s="729"/>
      <c r="BF325" s="729"/>
      <c r="BG325" s="729"/>
      <c r="BH325" s="729"/>
      <c r="BI325" s="729"/>
      <c r="BJ325" s="729"/>
      <c r="BK325" s="729"/>
      <c r="BL325" s="729"/>
      <c r="BM325" s="729"/>
      <c r="BN325" s="729"/>
      <c r="BO325" s="729"/>
      <c r="BP325" s="729"/>
      <c r="BQ325" s="729"/>
      <c r="BR325" s="729"/>
      <c r="BS325" s="729"/>
      <c r="BT325" s="729"/>
      <c r="BU325" s="729"/>
      <c r="BV325" s="729"/>
      <c r="BW325" s="729"/>
      <c r="BX325" s="729"/>
      <c r="BY325" s="729"/>
      <c r="BZ325" s="729"/>
      <c r="CA325" s="729"/>
      <c r="CB325" s="729"/>
      <c r="CC325" s="729"/>
      <c r="CD325" s="729"/>
      <c r="CE325" s="729"/>
      <c r="CF325" s="729"/>
      <c r="CG325" s="729"/>
      <c r="CH325" s="729"/>
      <c r="CI325" s="729"/>
      <c r="CJ325" s="729"/>
      <c r="CK325" s="729"/>
      <c r="CL325" s="729"/>
      <c r="CM325" s="729"/>
      <c r="CN325" s="729"/>
    </row>
    <row r="326" spans="1:92">
      <c r="A326" s="646" t="s">
        <v>1001</v>
      </c>
      <c r="B326" s="647"/>
      <c r="C326" s="647"/>
      <c r="D326" s="647"/>
      <c r="F326" s="647"/>
      <c r="G326" s="647"/>
      <c r="H326" s="647"/>
      <c r="I326" s="647"/>
      <c r="J326" s="647"/>
      <c r="K326" s="647"/>
      <c r="L326" s="647"/>
      <c r="M326" s="647"/>
      <c r="N326" s="647"/>
      <c r="O326" s="647"/>
      <c r="P326" s="647"/>
      <c r="Q326" s="647"/>
      <c r="R326" s="647"/>
      <c r="S326" s="647"/>
      <c r="T326" s="647"/>
      <c r="U326" s="647"/>
      <c r="V326" s="647"/>
      <c r="W326" s="647"/>
      <c r="X326" s="647"/>
      <c r="Y326" s="647"/>
      <c r="Z326" s="647"/>
      <c r="AA326" s="647"/>
      <c r="AB326" s="647"/>
      <c r="AC326" s="647"/>
      <c r="AD326" s="647"/>
      <c r="AE326" s="647"/>
      <c r="AF326" s="647"/>
      <c r="AG326" s="647"/>
      <c r="AH326" s="647"/>
      <c r="AI326" s="647"/>
      <c r="AJ326" s="647"/>
      <c r="AK326" s="647"/>
      <c r="AL326" s="647"/>
      <c r="AM326" s="647"/>
      <c r="AN326" s="647"/>
      <c r="AO326" s="647"/>
      <c r="AP326" s="647"/>
      <c r="AQ326" s="647"/>
      <c r="AR326" s="647"/>
      <c r="AS326" s="647"/>
      <c r="AT326" s="647"/>
      <c r="AU326" s="647"/>
      <c r="AV326" s="647"/>
      <c r="AW326" s="647"/>
      <c r="AX326" s="647"/>
      <c r="AY326" s="647"/>
      <c r="AZ326" s="647"/>
      <c r="BA326" s="647"/>
      <c r="BB326" s="647"/>
      <c r="BC326" s="647"/>
      <c r="BD326" s="647"/>
      <c r="BE326" s="647"/>
      <c r="BF326" s="647"/>
      <c r="BG326" s="647"/>
      <c r="BH326" s="647"/>
      <c r="BI326" s="647"/>
      <c r="BJ326" s="647"/>
      <c r="BK326" s="647"/>
      <c r="BL326" s="647"/>
      <c r="BM326" s="647"/>
      <c r="BN326" s="647"/>
      <c r="BO326" s="647"/>
      <c r="BP326" s="647"/>
      <c r="BQ326" s="647"/>
      <c r="BR326" s="647"/>
      <c r="BS326" s="647"/>
      <c r="BT326" s="647"/>
      <c r="BU326" s="647"/>
      <c r="BV326" s="647"/>
      <c r="BW326" s="647"/>
      <c r="BX326" s="647"/>
      <c r="BY326" s="647"/>
      <c r="BZ326" s="647"/>
      <c r="CA326" s="647"/>
      <c r="CB326" s="647"/>
      <c r="CC326" s="647"/>
      <c r="CD326" s="647"/>
      <c r="CE326" s="647"/>
      <c r="CF326" s="647"/>
      <c r="CG326" s="647"/>
      <c r="CH326" s="647"/>
      <c r="CI326" s="647"/>
      <c r="CJ326" s="647"/>
      <c r="CK326" s="647"/>
      <c r="CL326" s="647"/>
      <c r="CM326" s="647"/>
      <c r="CN326" s="647"/>
    </row>
    <row r="327" spans="1:92">
      <c r="A327" s="647"/>
      <c r="B327" s="646" t="s">
        <v>1177</v>
      </c>
      <c r="C327" s="647"/>
      <c r="D327" s="647"/>
      <c r="F327" s="647"/>
      <c r="G327" s="647"/>
      <c r="H327" s="647"/>
      <c r="I327" s="647"/>
      <c r="J327" s="647"/>
      <c r="K327" s="647"/>
      <c r="L327" s="647"/>
      <c r="M327" s="647"/>
      <c r="N327" s="647"/>
      <c r="O327" s="647"/>
      <c r="P327" s="647"/>
      <c r="Q327" s="647"/>
      <c r="R327" s="647"/>
      <c r="S327" s="647"/>
      <c r="T327" s="647"/>
      <c r="U327" s="647"/>
      <c r="V327" s="647"/>
      <c r="W327" s="647"/>
      <c r="X327" s="647"/>
      <c r="Y327" s="647"/>
      <c r="Z327" s="647"/>
      <c r="AA327" s="647"/>
      <c r="AB327" s="647"/>
      <c r="AC327" s="647"/>
      <c r="AD327" s="647"/>
      <c r="AE327" s="647"/>
      <c r="AF327" s="647"/>
      <c r="AG327" s="647"/>
      <c r="AH327" s="647"/>
      <c r="AI327" s="647"/>
      <c r="AJ327" s="647"/>
      <c r="AK327" s="647"/>
      <c r="AL327" s="647"/>
      <c r="AM327" s="647"/>
      <c r="AN327" s="647"/>
      <c r="AO327" s="647"/>
      <c r="AP327" s="647"/>
      <c r="AQ327" s="647"/>
      <c r="AR327" s="647"/>
      <c r="AS327" s="647"/>
      <c r="AT327" s="647"/>
      <c r="AU327" s="647"/>
      <c r="AV327" s="647"/>
      <c r="AW327" s="647"/>
      <c r="AX327" s="647"/>
      <c r="AY327" s="647"/>
      <c r="AZ327" s="647"/>
      <c r="BA327" s="647"/>
      <c r="BB327" s="647"/>
      <c r="BC327" s="647"/>
      <c r="BD327" s="647"/>
      <c r="BE327" s="647"/>
      <c r="BF327" s="647"/>
      <c r="BG327" s="647"/>
      <c r="BH327" s="647"/>
      <c r="BI327" s="647"/>
      <c r="BJ327" s="647"/>
      <c r="BK327" s="647"/>
      <c r="BL327" s="647"/>
      <c r="BM327" s="647"/>
      <c r="BN327" s="647"/>
      <c r="BO327" s="647"/>
      <c r="BP327" s="647"/>
      <c r="BQ327" s="647"/>
      <c r="BR327" s="647"/>
      <c r="BS327" s="647"/>
      <c r="BT327" s="647"/>
      <c r="BU327" s="647"/>
      <c r="BV327" s="647"/>
      <c r="BW327" s="647"/>
      <c r="BX327" s="647"/>
      <c r="BY327" s="647"/>
      <c r="BZ327" s="647"/>
      <c r="CA327" s="647"/>
      <c r="CB327" s="647"/>
      <c r="CC327" s="647"/>
      <c r="CD327" s="647"/>
      <c r="CE327" s="647"/>
      <c r="CF327" s="647"/>
      <c r="CG327" s="647"/>
      <c r="CH327" s="647"/>
      <c r="CI327" s="647"/>
      <c r="CJ327" s="647"/>
      <c r="CK327" s="647"/>
      <c r="CL327" s="647"/>
      <c r="CM327" s="647"/>
      <c r="CN327" s="647"/>
    </row>
    <row r="328" spans="1:92">
      <c r="A328" s="647"/>
      <c r="B328" s="647"/>
      <c r="C328" s="647"/>
      <c r="D328" s="647"/>
      <c r="E328" s="649"/>
      <c r="F328" s="647"/>
      <c r="G328" s="647"/>
      <c r="H328" s="647"/>
      <c r="I328" s="647"/>
      <c r="J328" s="647"/>
      <c r="K328" s="647"/>
      <c r="L328" s="647"/>
      <c r="M328" s="647"/>
      <c r="N328" s="647"/>
      <c r="O328" s="647"/>
      <c r="P328" s="647"/>
      <c r="Q328" s="647"/>
      <c r="R328" s="647"/>
      <c r="S328" s="647"/>
      <c r="T328" s="647"/>
      <c r="U328" s="647"/>
      <c r="V328" s="647"/>
      <c r="W328" s="647"/>
      <c r="X328" s="647"/>
      <c r="Y328" s="647"/>
      <c r="Z328" s="647"/>
      <c r="AA328" s="647"/>
      <c r="AB328" s="647"/>
      <c r="AC328" s="647"/>
      <c r="AD328" s="647"/>
      <c r="AE328" s="647"/>
      <c r="AF328" s="647"/>
      <c r="AG328" s="647"/>
      <c r="AH328" s="647"/>
      <c r="AI328" s="647"/>
      <c r="AJ328" s="647"/>
      <c r="AK328" s="647"/>
      <c r="AL328" s="647"/>
      <c r="AM328" s="647"/>
      <c r="AN328" s="647"/>
      <c r="AO328" s="647"/>
      <c r="AP328" s="647"/>
      <c r="AQ328" s="647"/>
      <c r="AR328" s="647"/>
      <c r="AS328" s="647"/>
      <c r="AT328" s="647"/>
      <c r="AU328" s="647"/>
      <c r="AV328" s="647"/>
      <c r="AW328" s="647"/>
      <c r="AX328" s="647"/>
      <c r="AY328" s="647"/>
      <c r="AZ328" s="647"/>
      <c r="BA328" s="647"/>
      <c r="BB328" s="647"/>
      <c r="BC328" s="647"/>
      <c r="BD328" s="647"/>
      <c r="BE328" s="647"/>
      <c r="BF328" s="647"/>
      <c r="BG328" s="647"/>
      <c r="BH328" s="647"/>
      <c r="BI328" s="647"/>
      <c r="BJ328" s="647"/>
      <c r="BK328" s="647"/>
      <c r="BL328" s="647"/>
      <c r="BM328" s="647"/>
      <c r="BN328" s="647"/>
      <c r="BO328" s="647"/>
      <c r="BP328" s="647"/>
      <c r="BQ328" s="647"/>
      <c r="BR328" s="647"/>
      <c r="BS328" s="647"/>
      <c r="BT328" s="647"/>
      <c r="BU328" s="647"/>
      <c r="BV328" s="647"/>
      <c r="BW328" s="647"/>
      <c r="BX328" s="647"/>
      <c r="BY328" s="647"/>
      <c r="BZ328" s="647"/>
      <c r="CA328" s="647"/>
      <c r="CB328" s="647"/>
      <c r="CC328" s="647"/>
      <c r="CD328" s="647"/>
      <c r="CE328" s="647"/>
      <c r="CF328" s="647"/>
      <c r="CG328" s="647"/>
      <c r="CH328" s="647"/>
      <c r="CI328" s="647"/>
      <c r="CJ328" s="647"/>
      <c r="CK328" s="647"/>
      <c r="CL328" s="647"/>
      <c r="CM328" s="647"/>
      <c r="CN328" s="647"/>
    </row>
    <row r="329" spans="1:92" ht="24">
      <c r="A329" s="647"/>
      <c r="B329" s="661" t="s">
        <v>99</v>
      </c>
      <c r="C329" s="661" t="s">
        <v>65</v>
      </c>
      <c r="D329" s="661" t="s">
        <v>1178</v>
      </c>
      <c r="E329" s="662" t="s">
        <v>1178</v>
      </c>
      <c r="F329" s="647"/>
      <c r="G329" s="647"/>
      <c r="H329" s="647"/>
      <c r="I329" s="647"/>
      <c r="J329" s="647"/>
      <c r="K329" s="647"/>
      <c r="L329" s="647"/>
      <c r="M329" s="647"/>
      <c r="N329" s="647"/>
      <c r="O329" s="647"/>
      <c r="P329" s="647"/>
      <c r="Q329" s="647"/>
      <c r="R329" s="647"/>
      <c r="S329" s="647"/>
      <c r="T329" s="647"/>
      <c r="U329" s="647"/>
      <c r="V329" s="647"/>
      <c r="W329" s="647"/>
      <c r="X329" s="647"/>
      <c r="Y329" s="647"/>
      <c r="Z329" s="647"/>
      <c r="AA329" s="647"/>
      <c r="AB329" s="647"/>
      <c r="AC329" s="647"/>
      <c r="AD329" s="647"/>
      <c r="AE329" s="647"/>
      <c r="AF329" s="647"/>
      <c r="AG329" s="647"/>
      <c r="AH329" s="647"/>
      <c r="AI329" s="647"/>
      <c r="AJ329" s="647"/>
      <c r="AK329" s="647"/>
      <c r="AL329" s="647"/>
      <c r="AM329" s="647"/>
      <c r="AN329" s="647"/>
      <c r="AO329" s="647"/>
      <c r="AP329" s="647"/>
      <c r="AQ329" s="647"/>
      <c r="AR329" s="647"/>
      <c r="AS329" s="647"/>
      <c r="AT329" s="647"/>
      <c r="AU329" s="647"/>
      <c r="AV329" s="647"/>
      <c r="AW329" s="647"/>
      <c r="AX329" s="647"/>
      <c r="AY329" s="647"/>
      <c r="AZ329" s="647"/>
      <c r="BA329" s="647"/>
      <c r="BB329" s="647"/>
      <c r="BC329" s="647"/>
      <c r="BD329" s="647"/>
      <c r="BE329" s="647"/>
      <c r="BF329" s="647"/>
      <c r="BG329" s="647"/>
      <c r="BH329" s="647"/>
      <c r="BI329" s="647"/>
      <c r="BJ329" s="647"/>
      <c r="BK329" s="647"/>
      <c r="BL329" s="647"/>
      <c r="BM329" s="647"/>
      <c r="BN329" s="647"/>
      <c r="BO329" s="647"/>
      <c r="BP329" s="647"/>
      <c r="BQ329" s="647"/>
      <c r="BR329" s="647"/>
      <c r="BS329" s="647"/>
      <c r="BT329" s="647"/>
      <c r="BU329" s="647"/>
      <c r="BV329" s="647"/>
      <c r="BW329" s="647"/>
      <c r="BX329" s="647"/>
      <c r="BY329" s="647"/>
      <c r="BZ329" s="647"/>
      <c r="CA329" s="647"/>
      <c r="CB329" s="647"/>
      <c r="CC329" s="647"/>
      <c r="CD329" s="647"/>
      <c r="CE329" s="647"/>
      <c r="CF329" s="647"/>
      <c r="CG329" s="647"/>
      <c r="CH329" s="647"/>
      <c r="CI329" s="647"/>
      <c r="CJ329" s="647"/>
      <c r="CK329" s="647"/>
      <c r="CL329" s="647"/>
      <c r="CM329" s="647"/>
      <c r="CN329" s="647"/>
    </row>
    <row r="330" spans="1:92" ht="24">
      <c r="A330" s="647"/>
      <c r="B330" s="663" t="s">
        <v>1003</v>
      </c>
      <c r="C330" s="663" t="s">
        <v>1179</v>
      </c>
      <c r="D330" s="664">
        <v>0</v>
      </c>
      <c r="E330" s="665">
        <v>0</v>
      </c>
      <c r="F330" s="647"/>
      <c r="G330" s="647"/>
      <c r="H330" s="647"/>
      <c r="I330" s="647"/>
      <c r="J330" s="647"/>
      <c r="K330" s="647"/>
      <c r="L330" s="647"/>
      <c r="M330" s="647"/>
      <c r="N330" s="647"/>
      <c r="O330" s="647"/>
      <c r="P330" s="647"/>
      <c r="Q330" s="647"/>
      <c r="R330" s="647"/>
      <c r="S330" s="647"/>
      <c r="T330" s="647"/>
      <c r="U330" s="647"/>
      <c r="V330" s="647"/>
      <c r="W330" s="647"/>
      <c r="X330" s="647"/>
      <c r="Y330" s="647"/>
      <c r="Z330" s="647"/>
      <c r="AA330" s="647"/>
      <c r="AB330" s="647"/>
      <c r="AC330" s="647"/>
      <c r="AD330" s="647"/>
      <c r="AE330" s="647"/>
      <c r="AF330" s="647"/>
      <c r="AG330" s="647"/>
      <c r="AH330" s="647"/>
      <c r="AI330" s="647"/>
      <c r="AJ330" s="647"/>
      <c r="AK330" s="647"/>
      <c r="AL330" s="647"/>
      <c r="AM330" s="647"/>
      <c r="AN330" s="647"/>
      <c r="AO330" s="647"/>
      <c r="AP330" s="647"/>
      <c r="AQ330" s="647"/>
      <c r="AR330" s="647"/>
      <c r="AS330" s="647"/>
      <c r="AT330" s="647"/>
      <c r="AU330" s="647"/>
      <c r="AV330" s="647"/>
      <c r="AW330" s="647"/>
      <c r="AX330" s="647"/>
      <c r="AY330" s="647"/>
      <c r="AZ330" s="647"/>
      <c r="BA330" s="647"/>
      <c r="BB330" s="647"/>
      <c r="BC330" s="647"/>
      <c r="BD330" s="647"/>
      <c r="BE330" s="647"/>
      <c r="BF330" s="647"/>
      <c r="BG330" s="647"/>
      <c r="BH330" s="647"/>
      <c r="BI330" s="647"/>
      <c r="BJ330" s="647"/>
      <c r="BK330" s="647"/>
      <c r="BL330" s="647"/>
      <c r="BM330" s="647"/>
      <c r="BN330" s="647"/>
      <c r="BO330" s="647"/>
      <c r="BP330" s="647"/>
      <c r="BQ330" s="647"/>
      <c r="BR330" s="647"/>
      <c r="BS330" s="647"/>
      <c r="BT330" s="647"/>
      <c r="BU330" s="647"/>
      <c r="BV330" s="647"/>
      <c r="BW330" s="647"/>
      <c r="BX330" s="647"/>
      <c r="BY330" s="647"/>
      <c r="BZ330" s="647"/>
      <c r="CA330" s="647"/>
      <c r="CB330" s="647"/>
      <c r="CC330" s="647"/>
      <c r="CD330" s="647"/>
      <c r="CE330" s="647"/>
      <c r="CF330" s="647"/>
      <c r="CG330" s="647"/>
      <c r="CH330" s="647"/>
      <c r="CI330" s="647"/>
      <c r="CJ330" s="647"/>
      <c r="CK330" s="647"/>
      <c r="CL330" s="647"/>
      <c r="CM330" s="647"/>
      <c r="CN330" s="647"/>
    </row>
    <row r="331" spans="1:92">
      <c r="A331" s="647"/>
      <c r="B331" s="663" t="s">
        <v>1004</v>
      </c>
      <c r="C331" s="663" t="s">
        <v>1180</v>
      </c>
      <c r="D331" s="664">
        <v>0</v>
      </c>
      <c r="E331" s="665">
        <v>0</v>
      </c>
      <c r="F331" s="647"/>
      <c r="G331" s="647"/>
      <c r="H331" s="647"/>
      <c r="I331" s="647"/>
      <c r="J331" s="647"/>
      <c r="K331" s="647"/>
      <c r="L331" s="647"/>
      <c r="M331" s="647"/>
      <c r="N331" s="647"/>
      <c r="O331" s="647"/>
      <c r="P331" s="647"/>
      <c r="Q331" s="647"/>
      <c r="R331" s="647"/>
      <c r="S331" s="647"/>
      <c r="T331" s="647"/>
      <c r="U331" s="647"/>
      <c r="V331" s="647"/>
      <c r="W331" s="647"/>
      <c r="X331" s="647"/>
      <c r="Y331" s="647"/>
      <c r="Z331" s="647"/>
      <c r="AA331" s="647"/>
      <c r="AB331" s="647"/>
      <c r="AC331" s="647"/>
      <c r="AD331" s="647"/>
      <c r="AE331" s="647"/>
      <c r="AF331" s="647"/>
      <c r="AG331" s="647"/>
      <c r="AH331" s="647"/>
      <c r="AI331" s="647"/>
      <c r="AJ331" s="647"/>
      <c r="AK331" s="647"/>
      <c r="AL331" s="647"/>
      <c r="AM331" s="647"/>
      <c r="AN331" s="647"/>
      <c r="AO331" s="647"/>
      <c r="AP331" s="647"/>
      <c r="AQ331" s="647"/>
      <c r="AR331" s="647"/>
      <c r="AS331" s="647"/>
      <c r="AT331" s="647"/>
      <c r="AU331" s="647"/>
      <c r="AV331" s="647"/>
      <c r="AW331" s="647"/>
      <c r="AX331" s="647"/>
      <c r="AY331" s="647"/>
      <c r="AZ331" s="647"/>
      <c r="BA331" s="647"/>
      <c r="BB331" s="647"/>
      <c r="BC331" s="647"/>
      <c r="BD331" s="647"/>
      <c r="BE331" s="647"/>
      <c r="BF331" s="647"/>
      <c r="BG331" s="647"/>
      <c r="BH331" s="647"/>
      <c r="BI331" s="647"/>
      <c r="BJ331" s="647"/>
      <c r="BK331" s="647"/>
      <c r="BL331" s="647"/>
      <c r="BM331" s="647"/>
      <c r="BN331" s="647"/>
      <c r="BO331" s="647"/>
      <c r="BP331" s="647"/>
      <c r="BQ331" s="647"/>
      <c r="BR331" s="647"/>
      <c r="BS331" s="647"/>
      <c r="BT331" s="647"/>
      <c r="BU331" s="647"/>
      <c r="BV331" s="647"/>
      <c r="BW331" s="647"/>
      <c r="BX331" s="647"/>
      <c r="BY331" s="647"/>
      <c r="BZ331" s="647"/>
      <c r="CA331" s="647"/>
      <c r="CB331" s="647"/>
      <c r="CC331" s="647"/>
      <c r="CD331" s="647"/>
      <c r="CE331" s="647"/>
      <c r="CF331" s="647"/>
      <c r="CG331" s="647"/>
      <c r="CH331" s="647"/>
      <c r="CI331" s="647"/>
      <c r="CJ331" s="647"/>
      <c r="CK331" s="647"/>
      <c r="CL331" s="647"/>
      <c r="CM331" s="647"/>
      <c r="CN331" s="647"/>
    </row>
    <row r="332" spans="1:92" ht="24">
      <c r="A332" s="647"/>
      <c r="B332" s="663" t="s">
        <v>1005</v>
      </c>
      <c r="C332" s="663" t="s">
        <v>1181</v>
      </c>
      <c r="D332" s="664">
        <v>0</v>
      </c>
      <c r="E332" s="665">
        <v>0</v>
      </c>
      <c r="F332" s="647"/>
      <c r="G332" s="647"/>
      <c r="H332" s="647"/>
      <c r="I332" s="647"/>
      <c r="J332" s="647"/>
      <c r="K332" s="647"/>
      <c r="L332" s="647"/>
      <c r="M332" s="647"/>
      <c r="N332" s="647"/>
      <c r="O332" s="647"/>
      <c r="P332" s="647"/>
      <c r="Q332" s="647"/>
      <c r="R332" s="647"/>
      <c r="S332" s="647"/>
      <c r="T332" s="647"/>
      <c r="U332" s="647"/>
      <c r="V332" s="647"/>
      <c r="W332" s="647"/>
      <c r="X332" s="647"/>
      <c r="Y332" s="647"/>
      <c r="Z332" s="647"/>
      <c r="AA332" s="647"/>
      <c r="AB332" s="647"/>
      <c r="AC332" s="647"/>
      <c r="AD332" s="647"/>
      <c r="AE332" s="647"/>
      <c r="AF332" s="647"/>
      <c r="AG332" s="647"/>
      <c r="AH332" s="647"/>
      <c r="AI332" s="647"/>
      <c r="AJ332" s="647"/>
      <c r="AK332" s="647"/>
      <c r="AL332" s="647"/>
      <c r="AM332" s="647"/>
      <c r="AN332" s="647"/>
      <c r="AO332" s="647"/>
      <c r="AP332" s="647"/>
      <c r="AQ332" s="647"/>
      <c r="AR332" s="647"/>
      <c r="AS332" s="647"/>
      <c r="AT332" s="647"/>
      <c r="AU332" s="647"/>
      <c r="AV332" s="647"/>
      <c r="AW332" s="647"/>
      <c r="AX332" s="647"/>
      <c r="AY332" s="647"/>
      <c r="AZ332" s="647"/>
      <c r="BA332" s="647"/>
      <c r="BB332" s="647"/>
      <c r="BC332" s="647"/>
      <c r="BD332" s="647"/>
      <c r="BE332" s="647"/>
      <c r="BF332" s="647"/>
      <c r="BG332" s="647"/>
      <c r="BH332" s="647"/>
      <c r="BI332" s="647"/>
      <c r="BJ332" s="647"/>
      <c r="BK332" s="647"/>
      <c r="BL332" s="647"/>
      <c r="BM332" s="647"/>
      <c r="BN332" s="647"/>
      <c r="BO332" s="647"/>
      <c r="BP332" s="647"/>
      <c r="BQ332" s="647"/>
      <c r="BR332" s="647"/>
      <c r="BS332" s="647"/>
      <c r="BT332" s="647"/>
      <c r="BU332" s="647"/>
      <c r="BV332" s="647"/>
      <c r="BW332" s="647"/>
      <c r="BX332" s="647"/>
      <c r="BY332" s="647"/>
      <c r="BZ332" s="647"/>
      <c r="CA332" s="647"/>
      <c r="CB332" s="647"/>
      <c r="CC332" s="647"/>
      <c r="CD332" s="647"/>
      <c r="CE332" s="647"/>
      <c r="CF332" s="647"/>
      <c r="CG332" s="647"/>
      <c r="CH332" s="647"/>
      <c r="CI332" s="647"/>
      <c r="CJ332" s="647"/>
      <c r="CK332" s="647"/>
      <c r="CL332" s="647"/>
      <c r="CM332" s="647"/>
      <c r="CN332" s="647"/>
    </row>
    <row r="333" spans="1:92" ht="36">
      <c r="A333" s="647"/>
      <c r="B333" s="663" t="s">
        <v>1006</v>
      </c>
      <c r="C333" s="663" t="s">
        <v>1182</v>
      </c>
      <c r="D333" s="664">
        <v>0</v>
      </c>
      <c r="E333" s="665">
        <v>365470</v>
      </c>
      <c r="F333" s="647"/>
      <c r="G333" s="647"/>
      <c r="H333" s="647"/>
      <c r="I333" s="647"/>
      <c r="J333" s="647"/>
      <c r="K333" s="647"/>
      <c r="L333" s="647"/>
      <c r="M333" s="647"/>
      <c r="N333" s="647"/>
      <c r="O333" s="647"/>
      <c r="P333" s="647"/>
      <c r="Q333" s="647"/>
      <c r="R333" s="647"/>
      <c r="S333" s="647"/>
      <c r="T333" s="647"/>
      <c r="U333" s="647"/>
      <c r="V333" s="647"/>
      <c r="W333" s="647"/>
      <c r="X333" s="647"/>
      <c r="Y333" s="647"/>
      <c r="Z333" s="647"/>
      <c r="AA333" s="647"/>
      <c r="AB333" s="647"/>
      <c r="AC333" s="647"/>
      <c r="AD333" s="647"/>
      <c r="AE333" s="647"/>
      <c r="AF333" s="647"/>
      <c r="AG333" s="647"/>
      <c r="AH333" s="647"/>
      <c r="AI333" s="647"/>
      <c r="AJ333" s="647"/>
      <c r="AK333" s="647"/>
      <c r="AL333" s="647"/>
      <c r="AM333" s="647"/>
      <c r="AN333" s="647"/>
      <c r="AO333" s="647"/>
      <c r="AP333" s="647"/>
      <c r="AQ333" s="647"/>
      <c r="AR333" s="647"/>
      <c r="AS333" s="647"/>
      <c r="AT333" s="647"/>
      <c r="AU333" s="647"/>
      <c r="AV333" s="647"/>
      <c r="AW333" s="647"/>
      <c r="AX333" s="647"/>
      <c r="AY333" s="647"/>
      <c r="AZ333" s="647"/>
      <c r="BA333" s="647"/>
      <c r="BB333" s="647"/>
      <c r="BC333" s="647"/>
      <c r="BD333" s="647"/>
      <c r="BE333" s="647"/>
      <c r="BF333" s="647"/>
      <c r="BG333" s="647"/>
      <c r="BH333" s="647"/>
      <c r="BI333" s="647"/>
      <c r="BJ333" s="647"/>
      <c r="BK333" s="647"/>
      <c r="BL333" s="647"/>
      <c r="BM333" s="647"/>
      <c r="BN333" s="647"/>
      <c r="BO333" s="647"/>
      <c r="BP333" s="647"/>
      <c r="BQ333" s="647"/>
      <c r="BR333" s="647"/>
      <c r="BS333" s="647"/>
      <c r="BT333" s="647"/>
      <c r="BU333" s="647"/>
      <c r="BV333" s="647"/>
      <c r="BW333" s="647"/>
      <c r="BX333" s="647"/>
      <c r="BY333" s="647"/>
      <c r="BZ333" s="647"/>
      <c r="CA333" s="647"/>
      <c r="CB333" s="647"/>
      <c r="CC333" s="647"/>
      <c r="CD333" s="647"/>
      <c r="CE333" s="647"/>
      <c r="CF333" s="647"/>
      <c r="CG333" s="647"/>
      <c r="CH333" s="647"/>
      <c r="CI333" s="647"/>
      <c r="CJ333" s="647"/>
      <c r="CK333" s="647"/>
      <c r="CL333" s="647"/>
      <c r="CM333" s="647"/>
      <c r="CN333" s="647"/>
    </row>
    <row r="334" spans="1:92">
      <c r="A334" s="647"/>
      <c r="B334" s="663" t="s">
        <v>1006</v>
      </c>
      <c r="C334" s="663"/>
      <c r="D334" s="664">
        <v>0</v>
      </c>
      <c r="E334" s="665">
        <v>0</v>
      </c>
      <c r="F334" s="647"/>
      <c r="G334" s="647"/>
      <c r="H334" s="647"/>
      <c r="I334" s="647"/>
      <c r="J334" s="647"/>
      <c r="K334" s="647"/>
      <c r="L334" s="647"/>
      <c r="M334" s="647"/>
      <c r="N334" s="647"/>
      <c r="O334" s="647"/>
      <c r="P334" s="647"/>
      <c r="Q334" s="647"/>
      <c r="R334" s="647"/>
      <c r="S334" s="647"/>
      <c r="T334" s="647"/>
      <c r="U334" s="647"/>
      <c r="V334" s="647"/>
      <c r="W334" s="647"/>
      <c r="X334" s="647"/>
      <c r="Y334" s="647"/>
      <c r="Z334" s="647"/>
      <c r="AA334" s="647"/>
      <c r="AB334" s="647"/>
      <c r="AC334" s="647"/>
      <c r="AD334" s="647"/>
      <c r="AE334" s="647"/>
      <c r="AF334" s="647"/>
      <c r="AG334" s="647"/>
      <c r="AH334" s="647"/>
      <c r="AI334" s="647"/>
      <c r="AJ334" s="647"/>
      <c r="AK334" s="647"/>
      <c r="AL334" s="647"/>
      <c r="AM334" s="647"/>
      <c r="AN334" s="647"/>
      <c r="AO334" s="647"/>
      <c r="AP334" s="647"/>
      <c r="AQ334" s="647"/>
      <c r="AR334" s="647"/>
      <c r="AS334" s="647"/>
      <c r="AT334" s="647"/>
      <c r="AU334" s="647"/>
      <c r="AV334" s="647"/>
      <c r="AW334" s="647"/>
      <c r="AX334" s="647"/>
      <c r="AY334" s="647"/>
      <c r="AZ334" s="647"/>
      <c r="BA334" s="647"/>
      <c r="BB334" s="647"/>
      <c r="BC334" s="647"/>
      <c r="BD334" s="647"/>
      <c r="BE334" s="647"/>
      <c r="BF334" s="647"/>
      <c r="BG334" s="647"/>
      <c r="BH334" s="647"/>
      <c r="BI334" s="647"/>
      <c r="BJ334" s="647"/>
      <c r="BK334" s="647"/>
      <c r="BL334" s="647"/>
      <c r="BM334" s="647"/>
      <c r="BN334" s="647"/>
      <c r="BO334" s="647"/>
      <c r="BP334" s="647"/>
      <c r="BQ334" s="647"/>
      <c r="BR334" s="647"/>
      <c r="BS334" s="647"/>
      <c r="BT334" s="647"/>
      <c r="BU334" s="647"/>
      <c r="BV334" s="647"/>
      <c r="BW334" s="647"/>
      <c r="BX334" s="647"/>
      <c r="BY334" s="647"/>
      <c r="BZ334" s="647"/>
      <c r="CA334" s="647"/>
      <c r="CB334" s="647"/>
      <c r="CC334" s="647"/>
      <c r="CD334" s="647"/>
      <c r="CE334" s="647"/>
      <c r="CF334" s="647"/>
      <c r="CG334" s="647"/>
      <c r="CH334" s="647"/>
      <c r="CI334" s="647"/>
      <c r="CJ334" s="647"/>
      <c r="CK334" s="647"/>
      <c r="CL334" s="647"/>
      <c r="CM334" s="647"/>
      <c r="CN334" s="647"/>
    </row>
    <row r="335" spans="1:92">
      <c r="A335" s="647"/>
      <c r="B335" s="663" t="s">
        <v>1031</v>
      </c>
      <c r="C335" s="666" t="s">
        <v>95</v>
      </c>
      <c r="D335" s="664">
        <f>SUM(D330:D334)</f>
        <v>0</v>
      </c>
      <c r="E335" s="665">
        <f>SUM(E330:E334)</f>
        <v>365470</v>
      </c>
      <c r="F335" s="647"/>
      <c r="G335" s="647"/>
      <c r="H335" s="647"/>
      <c r="I335" s="647"/>
      <c r="J335" s="647"/>
      <c r="K335" s="647"/>
      <c r="L335" s="647"/>
      <c r="M335" s="647"/>
      <c r="N335" s="647"/>
      <c r="O335" s="647"/>
      <c r="P335" s="647"/>
      <c r="Q335" s="647"/>
      <c r="R335" s="647"/>
      <c r="S335" s="647"/>
      <c r="T335" s="647"/>
      <c r="U335" s="647"/>
      <c r="V335" s="647"/>
      <c r="W335" s="647"/>
      <c r="X335" s="647"/>
      <c r="Y335" s="647"/>
      <c r="Z335" s="647"/>
      <c r="AA335" s="647"/>
      <c r="AB335" s="647"/>
      <c r="AC335" s="647"/>
      <c r="AD335" s="647"/>
      <c r="AE335" s="647"/>
      <c r="AF335" s="647"/>
      <c r="AG335" s="647"/>
      <c r="AH335" s="647"/>
      <c r="AI335" s="647"/>
      <c r="AJ335" s="647"/>
      <c r="AK335" s="647"/>
      <c r="AL335" s="647"/>
      <c r="AM335" s="647"/>
      <c r="AN335" s="647"/>
      <c r="AO335" s="647"/>
      <c r="AP335" s="647"/>
      <c r="AQ335" s="647"/>
      <c r="AR335" s="647"/>
      <c r="AS335" s="647"/>
      <c r="AT335" s="647"/>
      <c r="AU335" s="647"/>
      <c r="AV335" s="647"/>
      <c r="AW335" s="647"/>
      <c r="AX335" s="647"/>
      <c r="AY335" s="647"/>
      <c r="AZ335" s="647"/>
      <c r="BA335" s="647"/>
      <c r="BB335" s="647"/>
      <c r="BC335" s="647"/>
      <c r="BD335" s="647"/>
      <c r="BE335" s="647"/>
      <c r="BF335" s="647"/>
      <c r="BG335" s="647"/>
      <c r="BH335" s="647"/>
      <c r="BI335" s="647"/>
      <c r="BJ335" s="647"/>
      <c r="BK335" s="647"/>
      <c r="BL335" s="647"/>
      <c r="BM335" s="647"/>
      <c r="BN335" s="647"/>
      <c r="BO335" s="647"/>
      <c r="BP335" s="647"/>
      <c r="BQ335" s="647"/>
      <c r="BR335" s="647"/>
      <c r="BS335" s="647"/>
      <c r="BT335" s="647"/>
      <c r="BU335" s="647"/>
      <c r="BV335" s="647"/>
      <c r="BW335" s="647"/>
      <c r="BX335" s="647"/>
      <c r="BY335" s="647"/>
      <c r="BZ335" s="647"/>
      <c r="CA335" s="647"/>
      <c r="CB335" s="647"/>
      <c r="CC335" s="647"/>
      <c r="CD335" s="647"/>
      <c r="CE335" s="647"/>
      <c r="CF335" s="647"/>
      <c r="CG335" s="647"/>
      <c r="CH335" s="647"/>
      <c r="CI335" s="647"/>
      <c r="CJ335" s="647"/>
      <c r="CK335" s="647"/>
      <c r="CL335" s="647"/>
      <c r="CM335" s="647"/>
      <c r="CN335" s="647"/>
    </row>
    <row r="336" spans="1:92">
      <c r="A336" s="647" t="s">
        <v>1007</v>
      </c>
      <c r="B336" s="647" t="s">
        <v>1007</v>
      </c>
      <c r="C336" s="647" t="s">
        <v>1007</v>
      </c>
      <c r="D336" s="647" t="s">
        <v>1007</v>
      </c>
      <c r="F336" s="647"/>
      <c r="G336" s="647"/>
      <c r="H336" s="647"/>
      <c r="I336" s="647"/>
      <c r="J336" s="647"/>
      <c r="K336" s="647"/>
      <c r="L336" s="647"/>
      <c r="M336" s="647"/>
      <c r="N336" s="647"/>
      <c r="O336" s="647"/>
      <c r="P336" s="647"/>
      <c r="Q336" s="647"/>
      <c r="R336" s="647"/>
      <c r="S336" s="647"/>
      <c r="T336" s="647"/>
      <c r="U336" s="647"/>
      <c r="V336" s="647"/>
      <c r="W336" s="647"/>
      <c r="X336" s="647"/>
      <c r="Y336" s="647"/>
      <c r="Z336" s="647"/>
      <c r="AA336" s="647"/>
      <c r="AB336" s="647"/>
      <c r="AC336" s="647"/>
      <c r="AD336" s="647"/>
      <c r="AE336" s="647"/>
      <c r="AF336" s="647"/>
      <c r="AG336" s="647"/>
      <c r="AH336" s="647"/>
      <c r="AI336" s="647"/>
      <c r="AJ336" s="647"/>
      <c r="AK336" s="647"/>
      <c r="AL336" s="647"/>
      <c r="AM336" s="647"/>
      <c r="AN336" s="729"/>
      <c r="AO336" s="729"/>
      <c r="AP336" s="729"/>
      <c r="AQ336" s="729"/>
      <c r="AR336" s="729"/>
      <c r="AS336" s="729"/>
      <c r="AT336" s="729"/>
      <c r="AU336" s="729"/>
      <c r="AV336" s="729"/>
      <c r="AW336" s="729"/>
      <c r="AX336" s="729"/>
      <c r="AY336" s="729"/>
      <c r="AZ336" s="729"/>
      <c r="BA336" s="729"/>
      <c r="BB336" s="729"/>
      <c r="BC336" s="729"/>
      <c r="BD336" s="729"/>
      <c r="BE336" s="729"/>
      <c r="BF336" s="729"/>
      <c r="BG336" s="729"/>
      <c r="BH336" s="729"/>
      <c r="BI336" s="729"/>
      <c r="BJ336" s="729"/>
      <c r="BK336" s="729"/>
      <c r="BL336" s="729"/>
      <c r="BM336" s="729"/>
      <c r="BN336" s="729"/>
      <c r="BO336" s="729"/>
      <c r="BP336" s="729"/>
      <c r="BQ336" s="729"/>
      <c r="BR336" s="729"/>
      <c r="BS336" s="729"/>
      <c r="BT336" s="729"/>
      <c r="BU336" s="729"/>
      <c r="BV336" s="729"/>
      <c r="BW336" s="729"/>
      <c r="BX336" s="729"/>
      <c r="BY336" s="729"/>
      <c r="BZ336" s="729"/>
      <c r="CA336" s="729"/>
      <c r="CB336" s="729"/>
      <c r="CC336" s="729"/>
      <c r="CD336" s="729"/>
      <c r="CE336" s="729"/>
      <c r="CF336" s="729"/>
      <c r="CG336" s="729"/>
      <c r="CH336" s="729"/>
      <c r="CI336" s="729"/>
      <c r="CJ336" s="729"/>
      <c r="CK336" s="729"/>
      <c r="CL336" s="729"/>
      <c r="CM336" s="729"/>
      <c r="CN336" s="729"/>
    </row>
    <row r="337" spans="1:92" hidden="1">
      <c r="A337" s="646" t="s">
        <v>1001</v>
      </c>
      <c r="B337" s="647"/>
      <c r="C337" s="647"/>
      <c r="D337" s="647"/>
      <c r="F337" s="647"/>
      <c r="G337" s="647"/>
      <c r="H337" s="647"/>
      <c r="I337" s="647"/>
      <c r="J337" s="647"/>
      <c r="K337" s="647"/>
      <c r="L337" s="647"/>
      <c r="M337" s="647"/>
      <c r="N337" s="647"/>
      <c r="O337" s="647"/>
      <c r="P337" s="647"/>
      <c r="Q337" s="647"/>
      <c r="R337" s="647"/>
      <c r="S337" s="647"/>
      <c r="T337" s="647"/>
      <c r="U337" s="647"/>
      <c r="V337" s="647"/>
      <c r="W337" s="647"/>
      <c r="X337" s="647"/>
      <c r="Y337" s="647"/>
      <c r="Z337" s="647"/>
      <c r="AA337" s="647"/>
      <c r="AB337" s="647"/>
      <c r="AC337" s="647"/>
      <c r="AD337" s="647"/>
      <c r="AE337" s="647"/>
      <c r="AF337" s="647"/>
      <c r="AG337" s="647"/>
      <c r="AH337" s="647"/>
      <c r="AI337" s="647"/>
      <c r="AJ337" s="647"/>
      <c r="AK337" s="647"/>
      <c r="AL337" s="647"/>
      <c r="AM337" s="647"/>
      <c r="AN337" s="647"/>
      <c r="AO337" s="647"/>
      <c r="AP337" s="647"/>
      <c r="AQ337" s="647"/>
      <c r="AR337" s="647"/>
      <c r="AS337" s="647"/>
      <c r="AT337" s="647"/>
      <c r="AU337" s="647"/>
      <c r="AV337" s="647"/>
      <c r="AW337" s="647"/>
      <c r="AX337" s="647"/>
      <c r="AY337" s="647"/>
      <c r="AZ337" s="647"/>
      <c r="BA337" s="647"/>
      <c r="BB337" s="647"/>
      <c r="BC337" s="647"/>
      <c r="BD337" s="647"/>
      <c r="BE337" s="647"/>
      <c r="BF337" s="647"/>
      <c r="BG337" s="647"/>
      <c r="BH337" s="647"/>
      <c r="BI337" s="647"/>
      <c r="BJ337" s="647"/>
      <c r="BK337" s="647"/>
      <c r="BL337" s="647"/>
      <c r="BM337" s="647"/>
      <c r="BN337" s="647"/>
      <c r="BO337" s="647"/>
      <c r="BP337" s="647"/>
      <c r="BQ337" s="647"/>
      <c r="BR337" s="647"/>
      <c r="BS337" s="647"/>
      <c r="BT337" s="647"/>
      <c r="BU337" s="647"/>
      <c r="BV337" s="647"/>
      <c r="BW337" s="647"/>
      <c r="BX337" s="647"/>
      <c r="BY337" s="647"/>
      <c r="BZ337" s="647"/>
      <c r="CA337" s="647"/>
      <c r="CB337" s="647"/>
      <c r="CC337" s="647"/>
      <c r="CD337" s="647"/>
      <c r="CE337" s="647"/>
      <c r="CF337" s="647"/>
      <c r="CG337" s="647"/>
      <c r="CH337" s="647"/>
      <c r="CI337" s="647"/>
      <c r="CJ337" s="647"/>
      <c r="CK337" s="647"/>
      <c r="CL337" s="647"/>
      <c r="CM337" s="647"/>
      <c r="CN337" s="647"/>
    </row>
    <row r="338" spans="1:92" hidden="1">
      <c r="A338" s="647"/>
      <c r="B338" s="646" t="s">
        <v>1183</v>
      </c>
      <c r="C338" s="647"/>
      <c r="D338" s="647"/>
      <c r="F338" s="647"/>
      <c r="G338" s="647"/>
      <c r="H338" s="647"/>
      <c r="I338" s="647"/>
      <c r="J338" s="647"/>
      <c r="K338" s="647"/>
      <c r="L338" s="647"/>
      <c r="M338" s="647"/>
      <c r="N338" s="647"/>
      <c r="O338" s="647"/>
      <c r="P338" s="647"/>
      <c r="Q338" s="647"/>
      <c r="R338" s="647"/>
      <c r="S338" s="647"/>
      <c r="T338" s="647"/>
      <c r="U338" s="647"/>
      <c r="V338" s="647"/>
      <c r="W338" s="647"/>
      <c r="X338" s="647"/>
      <c r="Y338" s="647"/>
      <c r="Z338" s="647"/>
      <c r="AA338" s="647"/>
      <c r="AB338" s="647"/>
      <c r="AC338" s="647"/>
      <c r="AD338" s="647"/>
      <c r="AE338" s="647"/>
      <c r="AF338" s="647"/>
      <c r="AG338" s="647"/>
      <c r="AH338" s="647"/>
      <c r="AI338" s="647"/>
      <c r="AJ338" s="647"/>
      <c r="AK338" s="647"/>
      <c r="AL338" s="647"/>
      <c r="AM338" s="647"/>
      <c r="AN338" s="647"/>
      <c r="AO338" s="647"/>
      <c r="AP338" s="647"/>
      <c r="AQ338" s="647"/>
      <c r="AR338" s="647"/>
      <c r="AS338" s="647"/>
      <c r="AT338" s="647"/>
      <c r="AU338" s="647"/>
      <c r="AV338" s="647"/>
      <c r="AW338" s="647"/>
      <c r="AX338" s="647"/>
      <c r="AY338" s="647"/>
      <c r="AZ338" s="647"/>
      <c r="BA338" s="647"/>
      <c r="BB338" s="647"/>
      <c r="BC338" s="647"/>
      <c r="BD338" s="647"/>
      <c r="BE338" s="647"/>
      <c r="BF338" s="647"/>
      <c r="BG338" s="647"/>
      <c r="BH338" s="647"/>
      <c r="BI338" s="647"/>
      <c r="BJ338" s="647"/>
      <c r="BK338" s="647"/>
      <c r="BL338" s="647"/>
      <c r="BM338" s="647"/>
      <c r="BN338" s="647"/>
      <c r="BO338" s="647"/>
      <c r="BP338" s="647"/>
      <c r="BQ338" s="647"/>
      <c r="BR338" s="647"/>
      <c r="BS338" s="647"/>
      <c r="BT338" s="647"/>
      <c r="BU338" s="647"/>
      <c r="BV338" s="647"/>
      <c r="BW338" s="647"/>
      <c r="BX338" s="647"/>
      <c r="BY338" s="647"/>
      <c r="BZ338" s="647"/>
      <c r="CA338" s="647"/>
      <c r="CB338" s="647"/>
      <c r="CC338" s="647"/>
      <c r="CD338" s="647"/>
      <c r="CE338" s="647"/>
      <c r="CF338" s="647"/>
      <c r="CG338" s="647"/>
      <c r="CH338" s="647"/>
      <c r="CI338" s="647"/>
      <c r="CJ338" s="647"/>
      <c r="CK338" s="647"/>
      <c r="CL338" s="647"/>
      <c r="CM338" s="647"/>
      <c r="CN338" s="647"/>
    </row>
    <row r="339" spans="1:92" hidden="1">
      <c r="A339" s="647"/>
      <c r="B339" s="647"/>
      <c r="C339" s="647"/>
      <c r="D339" s="647"/>
      <c r="F339" s="660"/>
      <c r="G339" s="647"/>
      <c r="H339" s="647"/>
      <c r="I339" s="647"/>
      <c r="J339" s="647"/>
      <c r="K339" s="647"/>
      <c r="L339" s="647"/>
      <c r="M339" s="647"/>
      <c r="N339" s="647"/>
      <c r="O339" s="647"/>
      <c r="P339" s="647"/>
      <c r="Q339" s="647"/>
      <c r="R339" s="647"/>
      <c r="S339" s="647"/>
      <c r="T339" s="647"/>
      <c r="U339" s="647"/>
      <c r="V339" s="647"/>
      <c r="W339" s="647"/>
      <c r="X339" s="647"/>
      <c r="Y339" s="647"/>
      <c r="Z339" s="647"/>
      <c r="AA339" s="647"/>
      <c r="AB339" s="647"/>
      <c r="AC339" s="647"/>
      <c r="AD339" s="647"/>
      <c r="AE339" s="647"/>
      <c r="AF339" s="647"/>
      <c r="AG339" s="647"/>
      <c r="AH339" s="647"/>
      <c r="AI339" s="647"/>
      <c r="AJ339" s="647"/>
      <c r="AK339" s="647"/>
      <c r="AL339" s="647"/>
      <c r="AM339" s="647"/>
      <c r="AN339" s="647"/>
      <c r="AO339" s="647"/>
      <c r="AP339" s="647"/>
      <c r="AQ339" s="647"/>
      <c r="AR339" s="647"/>
      <c r="AS339" s="647"/>
      <c r="AT339" s="647"/>
      <c r="AU339" s="647"/>
      <c r="AV339" s="647"/>
      <c r="AW339" s="647"/>
      <c r="AX339" s="647"/>
      <c r="AY339" s="647"/>
      <c r="AZ339" s="647"/>
      <c r="BA339" s="647"/>
      <c r="BB339" s="647"/>
      <c r="BC339" s="647"/>
      <c r="BD339" s="647"/>
      <c r="BE339" s="647"/>
      <c r="BF339" s="647"/>
      <c r="BG339" s="647"/>
      <c r="BH339" s="647"/>
      <c r="BI339" s="647"/>
      <c r="BJ339" s="647"/>
      <c r="BK339" s="647"/>
      <c r="BL339" s="647"/>
      <c r="BM339" s="647"/>
      <c r="BN339" s="647"/>
      <c r="BO339" s="647"/>
      <c r="BP339" s="647"/>
      <c r="BQ339" s="647"/>
      <c r="BR339" s="647"/>
      <c r="BS339" s="647"/>
      <c r="BT339" s="647"/>
      <c r="BU339" s="647"/>
      <c r="BV339" s="647"/>
      <c r="BW339" s="647"/>
      <c r="BX339" s="647"/>
      <c r="BY339" s="647"/>
      <c r="BZ339" s="647"/>
      <c r="CA339" s="647"/>
      <c r="CB339" s="647"/>
      <c r="CC339" s="647"/>
      <c r="CD339" s="647"/>
      <c r="CE339" s="647"/>
      <c r="CF339" s="647"/>
      <c r="CG339" s="647"/>
      <c r="CH339" s="647"/>
      <c r="CI339" s="647"/>
      <c r="CJ339" s="647"/>
      <c r="CK339" s="647"/>
      <c r="CL339" s="647"/>
      <c r="CM339" s="647"/>
      <c r="CN339" s="647"/>
    </row>
    <row r="340" spans="1:92" ht="24" hidden="1">
      <c r="A340" s="647"/>
      <c r="B340" s="661" t="s">
        <v>99</v>
      </c>
      <c r="C340" s="661" t="s">
        <v>65</v>
      </c>
      <c r="D340" s="661" t="s">
        <v>1184</v>
      </c>
      <c r="E340" s="662" t="s">
        <v>1178</v>
      </c>
      <c r="F340" s="661" t="s">
        <v>1178</v>
      </c>
      <c r="G340" s="647"/>
      <c r="H340" s="647"/>
      <c r="I340" s="647"/>
      <c r="J340" s="647"/>
      <c r="K340" s="647"/>
      <c r="L340" s="647"/>
      <c r="M340" s="647"/>
      <c r="N340" s="647"/>
      <c r="O340" s="647"/>
      <c r="P340" s="647"/>
      <c r="Q340" s="647"/>
      <c r="R340" s="647"/>
      <c r="S340" s="647"/>
      <c r="T340" s="647"/>
      <c r="U340" s="647"/>
      <c r="V340" s="647"/>
      <c r="W340" s="647"/>
      <c r="X340" s="647"/>
      <c r="Y340" s="647"/>
      <c r="Z340" s="647"/>
      <c r="AA340" s="647"/>
      <c r="AB340" s="647"/>
      <c r="AC340" s="647"/>
      <c r="AD340" s="647"/>
      <c r="AE340" s="647"/>
      <c r="AF340" s="647"/>
      <c r="AG340" s="647"/>
      <c r="AH340" s="647"/>
      <c r="AI340" s="647"/>
      <c r="AJ340" s="647"/>
      <c r="AK340" s="647"/>
      <c r="AL340" s="647"/>
      <c r="AM340" s="647"/>
      <c r="AN340" s="647"/>
      <c r="AO340" s="647"/>
      <c r="AP340" s="647"/>
      <c r="AQ340" s="647"/>
      <c r="AR340" s="647"/>
      <c r="AS340" s="647"/>
      <c r="AT340" s="647"/>
      <c r="AU340" s="647"/>
      <c r="AV340" s="647"/>
      <c r="AW340" s="647"/>
      <c r="AX340" s="647"/>
      <c r="AY340" s="647"/>
      <c r="AZ340" s="647"/>
      <c r="BA340" s="647"/>
      <c r="BB340" s="647"/>
      <c r="BC340" s="647"/>
      <c r="BD340" s="647"/>
      <c r="BE340" s="647"/>
      <c r="BF340" s="647"/>
      <c r="BG340" s="647"/>
      <c r="BH340" s="647"/>
      <c r="BI340" s="647"/>
      <c r="BJ340" s="647"/>
      <c r="BK340" s="647"/>
      <c r="BL340" s="647"/>
      <c r="BM340" s="647"/>
      <c r="BN340" s="647"/>
      <c r="BO340" s="647"/>
      <c r="BP340" s="647"/>
      <c r="BQ340" s="647"/>
      <c r="BR340" s="647"/>
      <c r="BS340" s="647"/>
      <c r="BT340" s="647"/>
      <c r="BU340" s="647"/>
      <c r="BV340" s="647"/>
      <c r="BW340" s="647"/>
      <c r="BX340" s="647"/>
      <c r="BY340" s="647"/>
      <c r="BZ340" s="647"/>
      <c r="CA340" s="647"/>
      <c r="CB340" s="647"/>
      <c r="CC340" s="647"/>
      <c r="CD340" s="647"/>
      <c r="CE340" s="647"/>
      <c r="CF340" s="647"/>
      <c r="CG340" s="647"/>
      <c r="CH340" s="647"/>
      <c r="CI340" s="647"/>
      <c r="CJ340" s="647"/>
      <c r="CK340" s="647"/>
      <c r="CL340" s="647"/>
      <c r="CM340" s="647"/>
      <c r="CN340" s="647"/>
    </row>
    <row r="341" spans="1:92" ht="24" hidden="1">
      <c r="A341" s="647"/>
      <c r="B341" s="663" t="s">
        <v>1027</v>
      </c>
      <c r="C341" s="663" t="s">
        <v>1185</v>
      </c>
      <c r="D341" s="664">
        <v>0</v>
      </c>
      <c r="E341" s="665">
        <v>0</v>
      </c>
      <c r="F341" s="664">
        <v>0</v>
      </c>
      <c r="G341" s="647"/>
      <c r="H341" s="647"/>
      <c r="I341" s="647"/>
      <c r="J341" s="647"/>
      <c r="K341" s="647"/>
      <c r="L341" s="647"/>
      <c r="M341" s="647"/>
      <c r="N341" s="647"/>
      <c r="O341" s="647"/>
      <c r="P341" s="647"/>
      <c r="Q341" s="647"/>
      <c r="R341" s="647"/>
      <c r="S341" s="647"/>
      <c r="T341" s="647"/>
      <c r="U341" s="647"/>
      <c r="V341" s="647"/>
      <c r="W341" s="647"/>
      <c r="X341" s="647"/>
      <c r="Y341" s="647"/>
      <c r="Z341" s="647"/>
      <c r="AA341" s="647"/>
      <c r="AB341" s="647"/>
      <c r="AC341" s="647"/>
      <c r="AD341" s="647"/>
      <c r="AE341" s="647"/>
      <c r="AF341" s="647"/>
      <c r="AG341" s="647"/>
      <c r="AH341" s="647"/>
      <c r="AI341" s="647"/>
      <c r="AJ341" s="647"/>
      <c r="AK341" s="647"/>
      <c r="AL341" s="647"/>
      <c r="AM341" s="647"/>
      <c r="AN341" s="647"/>
      <c r="AO341" s="647"/>
      <c r="AP341" s="647"/>
      <c r="AQ341" s="647"/>
      <c r="AR341" s="647"/>
      <c r="AS341" s="647"/>
      <c r="AT341" s="647"/>
      <c r="AU341" s="647"/>
      <c r="AV341" s="647"/>
      <c r="AW341" s="647"/>
      <c r="AX341" s="647"/>
      <c r="AY341" s="647"/>
      <c r="AZ341" s="647"/>
      <c r="BA341" s="647"/>
      <c r="BB341" s="647"/>
      <c r="BC341" s="647"/>
      <c r="BD341" s="647"/>
      <c r="BE341" s="647"/>
      <c r="BF341" s="647"/>
      <c r="BG341" s="647"/>
      <c r="BH341" s="647"/>
      <c r="BI341" s="647"/>
      <c r="BJ341" s="647"/>
      <c r="BK341" s="647"/>
      <c r="BL341" s="647"/>
      <c r="BM341" s="647"/>
      <c r="BN341" s="647"/>
      <c r="BO341" s="647"/>
      <c r="BP341" s="647"/>
      <c r="BQ341" s="647"/>
      <c r="BR341" s="647"/>
      <c r="BS341" s="647"/>
      <c r="BT341" s="647"/>
      <c r="BU341" s="647"/>
      <c r="BV341" s="647"/>
      <c r="BW341" s="647"/>
      <c r="BX341" s="647"/>
      <c r="BY341" s="647"/>
      <c r="BZ341" s="647"/>
      <c r="CA341" s="647"/>
      <c r="CB341" s="647"/>
      <c r="CC341" s="647"/>
      <c r="CD341" s="647"/>
      <c r="CE341" s="647"/>
      <c r="CF341" s="647"/>
      <c r="CG341" s="647"/>
      <c r="CH341" s="647"/>
      <c r="CI341" s="647"/>
      <c r="CJ341" s="647"/>
      <c r="CK341" s="647"/>
      <c r="CL341" s="647"/>
      <c r="CM341" s="647"/>
      <c r="CN341" s="647"/>
    </row>
    <row r="342" spans="1:92" ht="24" hidden="1">
      <c r="A342" s="647"/>
      <c r="B342" s="663" t="s">
        <v>1010</v>
      </c>
      <c r="C342" s="663" t="s">
        <v>1186</v>
      </c>
      <c r="D342" s="664">
        <v>0</v>
      </c>
      <c r="E342" s="665">
        <v>0</v>
      </c>
      <c r="F342" s="664">
        <v>0</v>
      </c>
      <c r="G342" s="647"/>
      <c r="H342" s="647"/>
      <c r="I342" s="647"/>
      <c r="J342" s="647"/>
      <c r="K342" s="647"/>
      <c r="L342" s="647"/>
      <c r="M342" s="647"/>
      <c r="N342" s="647"/>
      <c r="O342" s="647"/>
      <c r="P342" s="647"/>
      <c r="Q342" s="647"/>
      <c r="R342" s="647"/>
      <c r="S342" s="647"/>
      <c r="T342" s="647"/>
      <c r="U342" s="647"/>
      <c r="V342" s="647"/>
      <c r="W342" s="647"/>
      <c r="X342" s="647"/>
      <c r="Y342" s="647"/>
      <c r="Z342" s="647"/>
      <c r="AA342" s="647"/>
      <c r="AB342" s="647"/>
      <c r="AC342" s="647"/>
      <c r="AD342" s="647"/>
      <c r="AE342" s="647"/>
      <c r="AF342" s="647"/>
      <c r="AG342" s="647"/>
      <c r="AH342" s="647"/>
      <c r="AI342" s="647"/>
      <c r="AJ342" s="647"/>
      <c r="AK342" s="647"/>
      <c r="AL342" s="647"/>
      <c r="AM342" s="647"/>
      <c r="AN342" s="647"/>
      <c r="AO342" s="647"/>
      <c r="AP342" s="647"/>
      <c r="AQ342" s="647"/>
      <c r="AR342" s="647"/>
      <c r="AS342" s="647"/>
      <c r="AT342" s="647"/>
      <c r="AU342" s="647"/>
      <c r="AV342" s="647"/>
      <c r="AW342" s="647"/>
      <c r="AX342" s="647"/>
      <c r="AY342" s="647"/>
      <c r="AZ342" s="647"/>
      <c r="BA342" s="647"/>
      <c r="BB342" s="647"/>
      <c r="BC342" s="647"/>
      <c r="BD342" s="647"/>
      <c r="BE342" s="647"/>
      <c r="BF342" s="647"/>
      <c r="BG342" s="647"/>
      <c r="BH342" s="647"/>
      <c r="BI342" s="647"/>
      <c r="BJ342" s="647"/>
      <c r="BK342" s="647"/>
      <c r="BL342" s="647"/>
      <c r="BM342" s="647"/>
      <c r="BN342" s="647"/>
      <c r="BO342" s="647"/>
      <c r="BP342" s="647"/>
      <c r="BQ342" s="647"/>
      <c r="BR342" s="647"/>
      <c r="BS342" s="647"/>
      <c r="BT342" s="647"/>
      <c r="BU342" s="647"/>
      <c r="BV342" s="647"/>
      <c r="BW342" s="647"/>
      <c r="BX342" s="647"/>
      <c r="BY342" s="647"/>
      <c r="BZ342" s="647"/>
      <c r="CA342" s="647"/>
      <c r="CB342" s="647"/>
      <c r="CC342" s="647"/>
      <c r="CD342" s="647"/>
      <c r="CE342" s="647"/>
      <c r="CF342" s="647"/>
      <c r="CG342" s="647"/>
      <c r="CH342" s="647"/>
      <c r="CI342" s="647"/>
      <c r="CJ342" s="647"/>
      <c r="CK342" s="647"/>
      <c r="CL342" s="647"/>
      <c r="CM342" s="647"/>
      <c r="CN342" s="647"/>
    </row>
    <row r="343" spans="1:92" hidden="1">
      <c r="A343" s="647"/>
      <c r="B343" s="663" t="s">
        <v>1071</v>
      </c>
      <c r="C343" s="663" t="s">
        <v>1187</v>
      </c>
      <c r="D343" s="664">
        <v>0</v>
      </c>
      <c r="E343" s="665">
        <v>0</v>
      </c>
      <c r="F343" s="664">
        <v>0</v>
      </c>
      <c r="G343" s="647"/>
      <c r="H343" s="647"/>
      <c r="I343" s="647"/>
      <c r="J343" s="647"/>
      <c r="K343" s="647"/>
      <c r="L343" s="647"/>
      <c r="M343" s="647"/>
      <c r="N343" s="647"/>
      <c r="O343" s="647"/>
      <c r="P343" s="647"/>
      <c r="Q343" s="647"/>
      <c r="R343" s="647"/>
      <c r="S343" s="647"/>
      <c r="T343" s="647"/>
      <c r="U343" s="647"/>
      <c r="V343" s="647"/>
      <c r="W343" s="647"/>
      <c r="X343" s="647"/>
      <c r="Y343" s="647"/>
      <c r="Z343" s="647"/>
      <c r="AA343" s="647"/>
      <c r="AB343" s="647"/>
      <c r="AC343" s="647"/>
      <c r="AD343" s="647"/>
      <c r="AE343" s="647"/>
      <c r="AF343" s="647"/>
      <c r="AG343" s="647"/>
      <c r="AH343" s="647"/>
      <c r="AI343" s="647"/>
      <c r="AJ343" s="647"/>
      <c r="AK343" s="647"/>
      <c r="AL343" s="647"/>
      <c r="AM343" s="647"/>
      <c r="AN343" s="647"/>
      <c r="AO343" s="647"/>
      <c r="AP343" s="647"/>
      <c r="AQ343" s="647"/>
      <c r="AR343" s="647"/>
      <c r="AS343" s="647"/>
      <c r="AT343" s="647"/>
      <c r="AU343" s="647"/>
      <c r="AV343" s="647"/>
      <c r="AW343" s="647"/>
      <c r="AX343" s="647"/>
      <c r="AY343" s="647"/>
      <c r="AZ343" s="647"/>
      <c r="BA343" s="647"/>
      <c r="BB343" s="647"/>
      <c r="BC343" s="647"/>
      <c r="BD343" s="647"/>
      <c r="BE343" s="647"/>
      <c r="BF343" s="647"/>
      <c r="BG343" s="647"/>
      <c r="BH343" s="647"/>
      <c r="BI343" s="647"/>
      <c r="BJ343" s="647"/>
      <c r="BK343" s="647"/>
      <c r="BL343" s="647"/>
      <c r="BM343" s="647"/>
      <c r="BN343" s="647"/>
      <c r="BO343" s="647"/>
      <c r="BP343" s="647"/>
      <c r="BQ343" s="647"/>
      <c r="BR343" s="647"/>
      <c r="BS343" s="647"/>
      <c r="BT343" s="647"/>
      <c r="BU343" s="647"/>
      <c r="BV343" s="647"/>
      <c r="BW343" s="647"/>
      <c r="BX343" s="647"/>
      <c r="BY343" s="647"/>
      <c r="BZ343" s="647"/>
      <c r="CA343" s="647"/>
      <c r="CB343" s="647"/>
      <c r="CC343" s="647"/>
      <c r="CD343" s="647"/>
      <c r="CE343" s="647"/>
      <c r="CF343" s="647"/>
      <c r="CG343" s="647"/>
      <c r="CH343" s="647"/>
      <c r="CI343" s="647"/>
      <c r="CJ343" s="647"/>
      <c r="CK343" s="647"/>
      <c r="CL343" s="647"/>
      <c r="CM343" s="647"/>
      <c r="CN343" s="647"/>
    </row>
    <row r="344" spans="1:92" hidden="1">
      <c r="A344" s="647"/>
      <c r="B344" s="663" t="s">
        <v>1076</v>
      </c>
      <c r="C344" s="666" t="s">
        <v>95</v>
      </c>
      <c r="D344" s="664">
        <v>0</v>
      </c>
      <c r="E344" s="665">
        <v>0</v>
      </c>
      <c r="F344" s="664">
        <v>0</v>
      </c>
      <c r="G344" s="647"/>
      <c r="H344" s="647"/>
      <c r="I344" s="647"/>
      <c r="J344" s="647"/>
      <c r="K344" s="647"/>
      <c r="L344" s="647"/>
      <c r="M344" s="647"/>
      <c r="N344" s="647"/>
      <c r="O344" s="647"/>
      <c r="P344" s="647"/>
      <c r="Q344" s="647"/>
      <c r="R344" s="647"/>
      <c r="S344" s="647"/>
      <c r="T344" s="647"/>
      <c r="U344" s="647"/>
      <c r="V344" s="647"/>
      <c r="W344" s="647"/>
      <c r="X344" s="647"/>
      <c r="Y344" s="647"/>
      <c r="Z344" s="647"/>
      <c r="AA344" s="647"/>
      <c r="AB344" s="647"/>
      <c r="AC344" s="647"/>
      <c r="AD344" s="647"/>
      <c r="AE344" s="647"/>
      <c r="AF344" s="647"/>
      <c r="AG344" s="647"/>
      <c r="AH344" s="647"/>
      <c r="AI344" s="647"/>
      <c r="AJ344" s="647"/>
      <c r="AK344" s="647"/>
      <c r="AL344" s="647"/>
      <c r="AM344" s="647"/>
      <c r="AN344" s="647"/>
      <c r="AO344" s="647"/>
      <c r="AP344" s="647"/>
      <c r="AQ344" s="647"/>
      <c r="AR344" s="647"/>
      <c r="AS344" s="647"/>
      <c r="AT344" s="647"/>
      <c r="AU344" s="647"/>
      <c r="AV344" s="647"/>
      <c r="AW344" s="647"/>
      <c r="AX344" s="647"/>
      <c r="AY344" s="647"/>
      <c r="AZ344" s="647"/>
      <c r="BA344" s="647"/>
      <c r="BB344" s="647"/>
      <c r="BC344" s="647"/>
      <c r="BD344" s="647"/>
      <c r="BE344" s="647"/>
      <c r="BF344" s="647"/>
      <c r="BG344" s="647"/>
      <c r="BH344" s="647"/>
      <c r="BI344" s="647"/>
      <c r="BJ344" s="647"/>
      <c r="BK344" s="647"/>
      <c r="BL344" s="647"/>
      <c r="BM344" s="647"/>
      <c r="BN344" s="647"/>
      <c r="BO344" s="647"/>
      <c r="BP344" s="647"/>
      <c r="BQ344" s="647"/>
      <c r="BR344" s="647"/>
      <c r="BS344" s="647"/>
      <c r="BT344" s="647"/>
      <c r="BU344" s="647"/>
      <c r="BV344" s="647"/>
      <c r="BW344" s="647"/>
      <c r="BX344" s="647"/>
      <c r="BY344" s="647"/>
      <c r="BZ344" s="647"/>
      <c r="CA344" s="647"/>
      <c r="CB344" s="647"/>
      <c r="CC344" s="647"/>
      <c r="CD344" s="647"/>
      <c r="CE344" s="647"/>
      <c r="CF344" s="647"/>
      <c r="CG344" s="647"/>
      <c r="CH344" s="647"/>
      <c r="CI344" s="647"/>
      <c r="CJ344" s="647"/>
      <c r="CK344" s="647"/>
      <c r="CL344" s="647"/>
      <c r="CM344" s="647"/>
      <c r="CN344" s="647"/>
    </row>
    <row r="345" spans="1:92" hidden="1">
      <c r="A345" s="647" t="s">
        <v>1007</v>
      </c>
      <c r="B345" s="647" t="s">
        <v>1007</v>
      </c>
      <c r="C345" s="647" t="s">
        <v>1007</v>
      </c>
      <c r="D345" s="647" t="s">
        <v>1007</v>
      </c>
      <c r="F345" s="647"/>
      <c r="G345" s="647"/>
      <c r="H345" s="647"/>
      <c r="I345" s="647"/>
      <c r="J345" s="647"/>
      <c r="K345" s="647"/>
      <c r="L345" s="647"/>
      <c r="M345" s="647"/>
      <c r="N345" s="647"/>
      <c r="O345" s="647"/>
      <c r="P345" s="647"/>
      <c r="Q345" s="647"/>
      <c r="R345" s="647"/>
      <c r="S345" s="647"/>
      <c r="T345" s="647"/>
      <c r="U345" s="647"/>
      <c r="V345" s="647"/>
      <c r="W345" s="647"/>
      <c r="X345" s="647"/>
      <c r="Y345" s="647"/>
      <c r="Z345" s="647"/>
      <c r="AA345" s="647"/>
      <c r="AB345" s="647"/>
      <c r="AC345" s="647"/>
      <c r="AD345" s="647"/>
      <c r="AE345" s="647"/>
      <c r="AF345" s="647"/>
      <c r="AG345" s="647"/>
      <c r="AH345" s="647"/>
      <c r="AI345" s="647"/>
      <c r="AJ345" s="647"/>
      <c r="AK345" s="647"/>
      <c r="AL345" s="647"/>
      <c r="AM345" s="647"/>
      <c r="AN345" s="729"/>
      <c r="AO345" s="729"/>
      <c r="AP345" s="729"/>
      <c r="AQ345" s="729"/>
      <c r="AR345" s="729"/>
      <c r="AS345" s="729"/>
      <c r="AT345" s="729"/>
      <c r="AU345" s="729"/>
      <c r="AV345" s="729"/>
      <c r="AW345" s="729"/>
      <c r="AX345" s="729"/>
      <c r="AY345" s="729"/>
      <c r="AZ345" s="729"/>
      <c r="BA345" s="729"/>
      <c r="BB345" s="729"/>
      <c r="BC345" s="729"/>
      <c r="BD345" s="729"/>
      <c r="BE345" s="729"/>
      <c r="BF345" s="729"/>
      <c r="BG345" s="729"/>
      <c r="BH345" s="729"/>
      <c r="BI345" s="729"/>
      <c r="BJ345" s="729"/>
      <c r="BK345" s="729"/>
      <c r="BL345" s="729"/>
      <c r="BM345" s="729"/>
      <c r="BN345" s="729"/>
      <c r="BO345" s="729"/>
      <c r="BP345" s="729"/>
      <c r="BQ345" s="729"/>
      <c r="BR345" s="729"/>
      <c r="BS345" s="729"/>
      <c r="BT345" s="729"/>
      <c r="BU345" s="729"/>
      <c r="BV345" s="729"/>
      <c r="BW345" s="729"/>
      <c r="BX345" s="729"/>
      <c r="BY345" s="729"/>
      <c r="BZ345" s="729"/>
      <c r="CA345" s="729"/>
      <c r="CB345" s="729"/>
      <c r="CC345" s="729"/>
      <c r="CD345" s="729"/>
      <c r="CE345" s="729"/>
      <c r="CF345" s="729"/>
      <c r="CG345" s="729"/>
      <c r="CH345" s="729"/>
      <c r="CI345" s="729"/>
      <c r="CJ345" s="729"/>
      <c r="CK345" s="729"/>
      <c r="CL345" s="729"/>
      <c r="CM345" s="729"/>
      <c r="CN345" s="729"/>
    </row>
    <row r="346" spans="1:92">
      <c r="A346" s="646" t="s">
        <v>1001</v>
      </c>
      <c r="B346" s="647"/>
      <c r="C346" s="647"/>
      <c r="D346" s="647"/>
      <c r="F346" s="647"/>
      <c r="G346" s="647"/>
      <c r="H346" s="647"/>
      <c r="I346" s="647"/>
      <c r="J346" s="647"/>
      <c r="K346" s="647"/>
      <c r="L346" s="647"/>
      <c r="M346" s="647"/>
      <c r="N346" s="647"/>
      <c r="O346" s="647"/>
      <c r="P346" s="647"/>
      <c r="Q346" s="647"/>
      <c r="R346" s="647"/>
      <c r="S346" s="647"/>
      <c r="T346" s="647"/>
      <c r="U346" s="647"/>
      <c r="V346" s="647"/>
      <c r="W346" s="647"/>
      <c r="X346" s="647"/>
      <c r="Y346" s="647"/>
      <c r="Z346" s="647"/>
      <c r="AA346" s="647"/>
      <c r="AB346" s="647"/>
      <c r="AC346" s="647"/>
      <c r="AD346" s="647"/>
      <c r="AE346" s="647"/>
      <c r="AF346" s="647"/>
      <c r="AG346" s="647"/>
      <c r="AH346" s="647"/>
      <c r="AI346" s="647"/>
      <c r="AJ346" s="647"/>
      <c r="AK346" s="647"/>
      <c r="AL346" s="647"/>
      <c r="AM346" s="647"/>
      <c r="AN346" s="647"/>
      <c r="AO346" s="647"/>
      <c r="AP346" s="647"/>
      <c r="AQ346" s="647"/>
      <c r="AR346" s="647"/>
      <c r="AS346" s="647"/>
      <c r="AT346" s="647"/>
      <c r="AU346" s="647"/>
      <c r="AV346" s="647"/>
      <c r="AW346" s="647"/>
      <c r="AX346" s="647"/>
      <c r="AY346" s="647"/>
      <c r="AZ346" s="647"/>
      <c r="BA346" s="647"/>
      <c r="BB346" s="647"/>
      <c r="BC346" s="647"/>
      <c r="BD346" s="647"/>
      <c r="BE346" s="647"/>
      <c r="BF346" s="647"/>
      <c r="BG346" s="647"/>
      <c r="BH346" s="647"/>
      <c r="BI346" s="647"/>
      <c r="BJ346" s="647"/>
      <c r="BK346" s="647"/>
      <c r="BL346" s="647"/>
      <c r="BM346" s="647"/>
      <c r="BN346" s="647"/>
      <c r="BO346" s="647"/>
      <c r="BP346" s="647"/>
      <c r="BQ346" s="647"/>
      <c r="BR346" s="647"/>
      <c r="BS346" s="647"/>
      <c r="BT346" s="647"/>
      <c r="BU346" s="647"/>
      <c r="BV346" s="647"/>
      <c r="BW346" s="647"/>
      <c r="BX346" s="647"/>
      <c r="BY346" s="647"/>
      <c r="BZ346" s="647"/>
      <c r="CA346" s="647"/>
      <c r="CB346" s="647"/>
      <c r="CC346" s="647"/>
      <c r="CD346" s="647"/>
      <c r="CE346" s="647"/>
      <c r="CF346" s="647"/>
      <c r="CG346" s="647"/>
      <c r="CH346" s="647"/>
      <c r="CI346" s="647"/>
      <c r="CJ346" s="647"/>
      <c r="CK346" s="647"/>
      <c r="CL346" s="647"/>
      <c r="CM346" s="647"/>
      <c r="CN346" s="647"/>
    </row>
    <row r="347" spans="1:92" hidden="1">
      <c r="A347" s="647"/>
      <c r="B347" s="646" t="s">
        <v>1188</v>
      </c>
      <c r="C347" s="647"/>
      <c r="D347" s="647"/>
      <c r="F347" s="647"/>
      <c r="G347" s="647"/>
      <c r="H347" s="647"/>
      <c r="I347" s="647"/>
      <c r="J347" s="647"/>
      <c r="K347" s="647"/>
      <c r="L347" s="647"/>
      <c r="M347" s="647"/>
      <c r="N347" s="647"/>
      <c r="O347" s="647"/>
      <c r="P347" s="647"/>
      <c r="Q347" s="647"/>
      <c r="R347" s="647"/>
      <c r="S347" s="647"/>
      <c r="T347" s="647"/>
      <c r="U347" s="647"/>
      <c r="V347" s="647"/>
      <c r="W347" s="647"/>
      <c r="X347" s="647"/>
      <c r="Y347" s="647"/>
      <c r="Z347" s="647"/>
      <c r="AA347" s="647"/>
      <c r="AB347" s="647"/>
      <c r="AC347" s="647"/>
      <c r="AD347" s="647"/>
      <c r="AE347" s="647"/>
      <c r="AF347" s="647"/>
      <c r="AG347" s="647"/>
      <c r="AH347" s="647"/>
      <c r="AI347" s="647"/>
      <c r="AJ347" s="647"/>
      <c r="AK347" s="647"/>
      <c r="AL347" s="647"/>
      <c r="AM347" s="647"/>
      <c r="AN347" s="647"/>
      <c r="AO347" s="647"/>
      <c r="AP347" s="647"/>
      <c r="AQ347" s="647"/>
      <c r="AR347" s="647"/>
      <c r="AS347" s="647"/>
      <c r="AT347" s="647"/>
      <c r="AU347" s="647"/>
      <c r="AV347" s="647"/>
      <c r="AW347" s="647"/>
      <c r="AX347" s="647"/>
      <c r="AY347" s="647"/>
      <c r="AZ347" s="647"/>
      <c r="BA347" s="647"/>
      <c r="BB347" s="647"/>
      <c r="BC347" s="647"/>
      <c r="BD347" s="647"/>
      <c r="BE347" s="647"/>
      <c r="BF347" s="647"/>
      <c r="BG347" s="647"/>
      <c r="BH347" s="647"/>
      <c r="BI347" s="647"/>
      <c r="BJ347" s="647"/>
      <c r="BK347" s="647"/>
      <c r="BL347" s="647"/>
      <c r="BM347" s="647"/>
      <c r="BN347" s="647"/>
      <c r="BO347" s="647"/>
      <c r="BP347" s="647"/>
      <c r="BQ347" s="647"/>
      <c r="BR347" s="647"/>
      <c r="BS347" s="647"/>
      <c r="BT347" s="647"/>
      <c r="BU347" s="647"/>
      <c r="BV347" s="647"/>
      <c r="BW347" s="647"/>
      <c r="BX347" s="647"/>
      <c r="BY347" s="647"/>
      <c r="BZ347" s="647"/>
      <c r="CA347" s="647"/>
      <c r="CB347" s="647"/>
      <c r="CC347" s="647"/>
      <c r="CD347" s="647"/>
      <c r="CE347" s="647"/>
      <c r="CF347" s="647"/>
      <c r="CG347" s="647"/>
      <c r="CH347" s="647"/>
      <c r="CI347" s="647"/>
      <c r="CJ347" s="647"/>
      <c r="CK347" s="647"/>
      <c r="CL347" s="647"/>
      <c r="CM347" s="647"/>
      <c r="CN347" s="647"/>
    </row>
    <row r="348" spans="1:92" hidden="1">
      <c r="A348" s="647"/>
      <c r="B348" s="647"/>
      <c r="C348" s="647"/>
      <c r="D348" s="647"/>
      <c r="E348" s="649"/>
      <c r="F348" s="647"/>
      <c r="G348" s="647"/>
      <c r="H348" s="647"/>
      <c r="I348" s="647"/>
      <c r="J348" s="647"/>
      <c r="K348" s="647"/>
      <c r="L348" s="647"/>
      <c r="M348" s="647"/>
      <c r="N348" s="647"/>
      <c r="O348" s="647"/>
      <c r="P348" s="647"/>
      <c r="Q348" s="647"/>
      <c r="R348" s="647"/>
      <c r="S348" s="647"/>
      <c r="T348" s="647"/>
      <c r="U348" s="647"/>
      <c r="V348" s="647"/>
      <c r="W348" s="647"/>
      <c r="X348" s="647"/>
      <c r="Y348" s="647"/>
      <c r="Z348" s="647"/>
      <c r="AA348" s="647"/>
      <c r="AB348" s="647"/>
      <c r="AC348" s="647"/>
      <c r="AD348" s="647"/>
      <c r="AE348" s="647"/>
      <c r="AF348" s="647"/>
      <c r="AG348" s="647"/>
      <c r="AH348" s="647"/>
      <c r="AI348" s="647"/>
      <c r="AJ348" s="647"/>
      <c r="AK348" s="647"/>
      <c r="AL348" s="647"/>
      <c r="AM348" s="647"/>
      <c r="AN348" s="647"/>
      <c r="AO348" s="647"/>
      <c r="AP348" s="647"/>
      <c r="AQ348" s="647"/>
      <c r="AR348" s="647"/>
      <c r="AS348" s="647"/>
      <c r="AT348" s="647"/>
      <c r="AU348" s="647"/>
      <c r="AV348" s="647"/>
      <c r="AW348" s="647"/>
      <c r="AX348" s="647"/>
      <c r="AY348" s="647"/>
      <c r="AZ348" s="647"/>
      <c r="BA348" s="647"/>
      <c r="BB348" s="647"/>
      <c r="BC348" s="647"/>
      <c r="BD348" s="647"/>
      <c r="BE348" s="647"/>
      <c r="BF348" s="647"/>
      <c r="BG348" s="647"/>
      <c r="BH348" s="647"/>
      <c r="BI348" s="647"/>
      <c r="BJ348" s="647"/>
      <c r="BK348" s="647"/>
      <c r="BL348" s="647"/>
      <c r="BM348" s="647"/>
      <c r="BN348" s="647"/>
      <c r="BO348" s="647"/>
      <c r="BP348" s="647"/>
      <c r="BQ348" s="647"/>
      <c r="BR348" s="647"/>
      <c r="BS348" s="647"/>
      <c r="BT348" s="647"/>
      <c r="BU348" s="647"/>
      <c r="BV348" s="647"/>
      <c r="BW348" s="647"/>
      <c r="BX348" s="647"/>
      <c r="BY348" s="647"/>
      <c r="BZ348" s="647"/>
      <c r="CA348" s="647"/>
      <c r="CB348" s="647"/>
      <c r="CC348" s="647"/>
      <c r="CD348" s="647"/>
      <c r="CE348" s="647"/>
      <c r="CF348" s="647"/>
      <c r="CG348" s="647"/>
      <c r="CH348" s="647"/>
      <c r="CI348" s="647"/>
      <c r="CJ348" s="647"/>
      <c r="CK348" s="647"/>
      <c r="CL348" s="647"/>
      <c r="CM348" s="647"/>
      <c r="CN348" s="647"/>
    </row>
    <row r="349" spans="1:92" ht="24">
      <c r="A349" s="647"/>
      <c r="B349" s="647"/>
      <c r="C349" s="682" t="s">
        <v>1246</v>
      </c>
      <c r="D349" s="682" t="s">
        <v>5</v>
      </c>
      <c r="E349" s="682" t="s">
        <v>2</v>
      </c>
      <c r="F349" s="647"/>
      <c r="G349" s="647"/>
      <c r="H349" s="647"/>
      <c r="I349" s="647"/>
      <c r="J349" s="647"/>
      <c r="K349" s="647"/>
      <c r="L349" s="647"/>
      <c r="M349" s="647"/>
      <c r="N349" s="647"/>
      <c r="O349" s="647"/>
      <c r="P349" s="647"/>
      <c r="Q349" s="647"/>
      <c r="R349" s="647"/>
      <c r="S349" s="647"/>
      <c r="T349" s="647"/>
      <c r="U349" s="647"/>
      <c r="V349" s="647"/>
      <c r="W349" s="647"/>
      <c r="X349" s="647"/>
      <c r="Y349" s="647"/>
      <c r="Z349" s="647"/>
      <c r="AA349" s="647"/>
      <c r="AB349" s="647"/>
      <c r="AC349" s="647"/>
      <c r="AD349" s="647"/>
      <c r="AE349" s="647"/>
      <c r="AF349" s="647"/>
      <c r="AG349" s="647"/>
      <c r="AH349" s="647"/>
      <c r="AI349" s="647"/>
      <c r="AJ349" s="647"/>
      <c r="AK349" s="647"/>
      <c r="AL349" s="647"/>
      <c r="AM349" s="647"/>
      <c r="AN349" s="647"/>
      <c r="AO349" s="647"/>
      <c r="AP349" s="647"/>
      <c r="AQ349" s="647"/>
      <c r="AR349" s="647"/>
      <c r="AS349" s="647"/>
      <c r="AT349" s="647"/>
      <c r="AU349" s="647"/>
      <c r="AV349" s="647"/>
      <c r="AW349" s="647"/>
      <c r="AX349" s="647"/>
      <c r="AY349" s="647"/>
      <c r="AZ349" s="647"/>
      <c r="BA349" s="647"/>
      <c r="BB349" s="647"/>
      <c r="BC349" s="647"/>
      <c r="BD349" s="647"/>
      <c r="BE349" s="647"/>
      <c r="BF349" s="647"/>
      <c r="BG349" s="647"/>
      <c r="BH349" s="647"/>
      <c r="BI349" s="647"/>
      <c r="BJ349" s="647"/>
      <c r="BK349" s="647"/>
      <c r="BL349" s="647"/>
      <c r="BM349" s="647"/>
      <c r="BN349" s="647"/>
      <c r="BO349" s="647"/>
      <c r="BP349" s="647"/>
      <c r="BQ349" s="647"/>
      <c r="BR349" s="647"/>
      <c r="BS349" s="647"/>
      <c r="BT349" s="647"/>
      <c r="BU349" s="647"/>
      <c r="BV349" s="647"/>
      <c r="BW349" s="647"/>
      <c r="BX349" s="647"/>
      <c r="BY349" s="647"/>
      <c r="BZ349" s="647"/>
      <c r="CA349" s="647"/>
      <c r="CB349" s="647"/>
      <c r="CC349" s="647"/>
      <c r="CD349" s="647"/>
      <c r="CE349" s="647"/>
      <c r="CF349" s="647"/>
      <c r="CG349" s="647"/>
      <c r="CH349" s="647"/>
      <c r="CI349" s="647"/>
      <c r="CJ349" s="647"/>
      <c r="CK349" s="647"/>
      <c r="CL349" s="647"/>
      <c r="CM349" s="647"/>
      <c r="CN349" s="647"/>
    </row>
    <row r="350" spans="1:92" ht="36">
      <c r="A350" s="647"/>
      <c r="B350" s="647"/>
      <c r="C350" s="683" t="s">
        <v>1327</v>
      </c>
      <c r="D350" s="683" t="s">
        <v>1335</v>
      </c>
      <c r="E350" s="683" t="s">
        <v>1242</v>
      </c>
      <c r="F350" s="647"/>
      <c r="G350" s="647"/>
      <c r="H350" s="647"/>
      <c r="I350" s="647"/>
      <c r="J350" s="647"/>
      <c r="K350" s="647"/>
      <c r="L350" s="647"/>
      <c r="M350" s="647"/>
      <c r="N350" s="647"/>
      <c r="O350" s="647"/>
      <c r="P350" s="647"/>
      <c r="Q350" s="647"/>
      <c r="R350" s="647"/>
      <c r="S350" s="647"/>
      <c r="T350" s="647"/>
      <c r="U350" s="647"/>
      <c r="V350" s="647"/>
      <c r="W350" s="647"/>
      <c r="X350" s="647"/>
      <c r="Y350" s="647"/>
      <c r="Z350" s="647"/>
      <c r="AA350" s="647"/>
      <c r="AB350" s="647"/>
      <c r="AC350" s="647"/>
      <c r="AD350" s="647"/>
      <c r="AE350" s="647"/>
      <c r="AF350" s="647"/>
      <c r="AG350" s="647"/>
      <c r="AH350" s="647"/>
      <c r="AI350" s="647"/>
      <c r="AJ350" s="647"/>
      <c r="AK350" s="647"/>
      <c r="AL350" s="647"/>
      <c r="AM350" s="647"/>
      <c r="AN350" s="647"/>
      <c r="AO350" s="647"/>
      <c r="AP350" s="647"/>
      <c r="AQ350" s="647"/>
      <c r="AR350" s="647"/>
      <c r="AS350" s="647"/>
      <c r="AT350" s="647"/>
      <c r="AU350" s="647"/>
      <c r="AV350" s="647"/>
      <c r="AW350" s="647"/>
      <c r="AX350" s="647"/>
      <c r="AY350" s="647"/>
      <c r="AZ350" s="647"/>
      <c r="BA350" s="647"/>
      <c r="BB350" s="647"/>
      <c r="BC350" s="647"/>
      <c r="BD350" s="647"/>
      <c r="BE350" s="647"/>
      <c r="BF350" s="647"/>
      <c r="BG350" s="647"/>
      <c r="BH350" s="647"/>
      <c r="BI350" s="647"/>
      <c r="BJ350" s="647"/>
      <c r="BK350" s="647"/>
      <c r="BL350" s="647"/>
      <c r="BM350" s="647"/>
      <c r="BN350" s="647"/>
      <c r="BO350" s="647"/>
      <c r="BP350" s="647"/>
      <c r="BQ350" s="647"/>
      <c r="BR350" s="647"/>
      <c r="BS350" s="647"/>
      <c r="BT350" s="647"/>
      <c r="BU350" s="647"/>
      <c r="BV350" s="647"/>
      <c r="BW350" s="647"/>
      <c r="BX350" s="647"/>
      <c r="BY350" s="647"/>
      <c r="BZ350" s="647"/>
      <c r="CA350" s="647"/>
      <c r="CB350" s="647"/>
      <c r="CC350" s="647"/>
      <c r="CD350" s="647"/>
      <c r="CE350" s="647"/>
      <c r="CF350" s="647"/>
      <c r="CG350" s="647"/>
      <c r="CH350" s="647"/>
      <c r="CI350" s="647"/>
      <c r="CJ350" s="647"/>
      <c r="CK350" s="647"/>
      <c r="CL350" s="647"/>
      <c r="CM350" s="647"/>
      <c r="CN350" s="647"/>
    </row>
    <row r="351" spans="1:92" ht="36">
      <c r="A351" s="647"/>
      <c r="B351" s="647"/>
      <c r="C351" s="683" t="s">
        <v>1328</v>
      </c>
      <c r="D351" s="683" t="s">
        <v>1063</v>
      </c>
      <c r="E351" s="683" t="s">
        <v>1063</v>
      </c>
      <c r="F351" s="647"/>
      <c r="G351" s="647"/>
      <c r="H351" s="647"/>
      <c r="I351" s="647"/>
      <c r="J351" s="647"/>
      <c r="K351" s="647"/>
      <c r="L351" s="647"/>
      <c r="M351" s="647"/>
      <c r="N351" s="647"/>
      <c r="O351" s="647"/>
      <c r="P351" s="647"/>
      <c r="Q351" s="647"/>
      <c r="R351" s="647"/>
      <c r="S351" s="647"/>
      <c r="T351" s="647"/>
      <c r="U351" s="647"/>
      <c r="V351" s="647"/>
      <c r="W351" s="647"/>
      <c r="X351" s="647"/>
      <c r="Y351" s="647"/>
      <c r="Z351" s="647"/>
      <c r="AA351" s="647"/>
      <c r="AB351" s="647"/>
      <c r="AC351" s="647"/>
      <c r="AD351" s="647"/>
      <c r="AE351" s="647"/>
      <c r="AF351" s="647"/>
      <c r="AG351" s="647"/>
      <c r="AH351" s="647"/>
      <c r="AI351" s="647"/>
      <c r="AJ351" s="647"/>
      <c r="AK351" s="647"/>
      <c r="AL351" s="647"/>
      <c r="AM351" s="647"/>
      <c r="AN351" s="647"/>
      <c r="AO351" s="647"/>
      <c r="AP351" s="647"/>
      <c r="AQ351" s="647"/>
      <c r="AR351" s="647"/>
      <c r="AS351" s="647"/>
      <c r="AT351" s="647"/>
      <c r="AU351" s="647"/>
      <c r="AV351" s="647"/>
      <c r="AW351" s="647"/>
      <c r="AX351" s="647"/>
      <c r="AY351" s="647"/>
      <c r="AZ351" s="647"/>
      <c r="BA351" s="647"/>
      <c r="BB351" s="647"/>
      <c r="BC351" s="647"/>
      <c r="BD351" s="647"/>
      <c r="BE351" s="647"/>
      <c r="BF351" s="647"/>
      <c r="BG351" s="647"/>
      <c r="BH351" s="647"/>
      <c r="BI351" s="647"/>
      <c r="BJ351" s="647"/>
      <c r="BK351" s="647"/>
      <c r="BL351" s="647"/>
      <c r="BM351" s="647"/>
      <c r="BN351" s="647"/>
      <c r="BO351" s="647"/>
      <c r="BP351" s="647"/>
      <c r="BQ351" s="647"/>
      <c r="BR351" s="647"/>
      <c r="BS351" s="647"/>
      <c r="BT351" s="647"/>
      <c r="BU351" s="647"/>
      <c r="BV351" s="647"/>
      <c r="BW351" s="647"/>
      <c r="BX351" s="647"/>
      <c r="BY351" s="647"/>
      <c r="BZ351" s="647"/>
      <c r="CA351" s="647"/>
      <c r="CB351" s="647"/>
      <c r="CC351" s="647"/>
      <c r="CD351" s="647"/>
      <c r="CE351" s="647"/>
      <c r="CF351" s="647"/>
      <c r="CG351" s="647"/>
      <c r="CH351" s="647"/>
      <c r="CI351" s="647"/>
      <c r="CJ351" s="647"/>
      <c r="CK351" s="647"/>
      <c r="CL351" s="647"/>
      <c r="CM351" s="647"/>
      <c r="CN351" s="647"/>
    </row>
    <row r="352" spans="1:92">
      <c r="A352" s="647"/>
      <c r="B352" s="647"/>
      <c r="C352" s="683" t="s">
        <v>1329</v>
      </c>
      <c r="D352" s="683" t="s">
        <v>1335</v>
      </c>
      <c r="E352" s="683" t="s">
        <v>1242</v>
      </c>
      <c r="F352" s="647"/>
      <c r="G352" s="647"/>
      <c r="H352" s="647"/>
      <c r="I352" s="647"/>
      <c r="J352" s="647"/>
      <c r="K352" s="647"/>
      <c r="L352" s="647"/>
      <c r="M352" s="647"/>
      <c r="N352" s="647"/>
      <c r="O352" s="647"/>
      <c r="P352" s="647"/>
      <c r="Q352" s="647"/>
      <c r="R352" s="647"/>
      <c r="S352" s="647"/>
      <c r="T352" s="647"/>
      <c r="U352" s="647"/>
      <c r="V352" s="647"/>
      <c r="W352" s="647"/>
      <c r="X352" s="647"/>
      <c r="Y352" s="647"/>
      <c r="Z352" s="647"/>
      <c r="AA352" s="647"/>
      <c r="AB352" s="647"/>
      <c r="AC352" s="647"/>
      <c r="AD352" s="647"/>
      <c r="AE352" s="647"/>
      <c r="AF352" s="647"/>
      <c r="AG352" s="647"/>
      <c r="AH352" s="647"/>
      <c r="AI352" s="647"/>
      <c r="AJ352" s="647"/>
      <c r="AK352" s="647"/>
      <c r="AL352" s="647"/>
      <c r="AM352" s="647"/>
      <c r="AN352" s="647"/>
      <c r="AO352" s="647"/>
      <c r="AP352" s="647"/>
      <c r="AQ352" s="647"/>
      <c r="AR352" s="647"/>
      <c r="AS352" s="647"/>
      <c r="AT352" s="647"/>
      <c r="AU352" s="647"/>
      <c r="AV352" s="647"/>
      <c r="AW352" s="647"/>
      <c r="AX352" s="647"/>
      <c r="AY352" s="647"/>
      <c r="AZ352" s="647"/>
      <c r="BA352" s="647"/>
      <c r="BB352" s="647"/>
      <c r="BC352" s="647"/>
      <c r="BD352" s="647"/>
      <c r="BE352" s="647"/>
      <c r="BF352" s="647"/>
      <c r="BG352" s="647"/>
      <c r="BH352" s="647"/>
      <c r="BI352" s="647"/>
      <c r="BJ352" s="647"/>
      <c r="BK352" s="647"/>
      <c r="BL352" s="647"/>
      <c r="BM352" s="647"/>
      <c r="BN352" s="647"/>
      <c r="BO352" s="647"/>
      <c r="BP352" s="647"/>
      <c r="BQ352" s="647"/>
      <c r="BR352" s="647"/>
      <c r="BS352" s="647"/>
      <c r="BT352" s="647"/>
      <c r="BU352" s="647"/>
      <c r="BV352" s="647"/>
      <c r="BW352" s="647"/>
      <c r="BX352" s="647"/>
      <c r="BY352" s="647"/>
      <c r="BZ352" s="647"/>
      <c r="CA352" s="647"/>
      <c r="CB352" s="647"/>
      <c r="CC352" s="647"/>
      <c r="CD352" s="647"/>
      <c r="CE352" s="647"/>
      <c r="CF352" s="647"/>
      <c r="CG352" s="647"/>
      <c r="CH352" s="647"/>
      <c r="CI352" s="647"/>
      <c r="CJ352" s="647"/>
      <c r="CK352" s="647"/>
      <c r="CL352" s="647"/>
      <c r="CM352" s="647"/>
      <c r="CN352" s="647"/>
    </row>
    <row r="353" spans="1:92">
      <c r="A353" s="647"/>
      <c r="B353" s="646" t="s">
        <v>1032</v>
      </c>
      <c r="C353" s="647"/>
      <c r="D353" s="647"/>
      <c r="F353" s="647"/>
      <c r="G353" s="647"/>
      <c r="H353" s="647"/>
      <c r="I353" s="647"/>
      <c r="J353" s="647"/>
      <c r="K353" s="647"/>
      <c r="L353" s="647"/>
      <c r="M353" s="647"/>
      <c r="N353" s="647"/>
      <c r="O353" s="647"/>
      <c r="P353" s="647"/>
      <c r="Q353" s="647"/>
      <c r="R353" s="647"/>
      <c r="S353" s="647"/>
      <c r="T353" s="647"/>
      <c r="U353" s="647"/>
      <c r="V353" s="647"/>
      <c r="W353" s="647"/>
      <c r="X353" s="647"/>
      <c r="Y353" s="647"/>
      <c r="Z353" s="647"/>
      <c r="AA353" s="647"/>
      <c r="AB353" s="647"/>
      <c r="AC353" s="647"/>
      <c r="AD353" s="647"/>
      <c r="AE353" s="647"/>
      <c r="AF353" s="647"/>
      <c r="AG353" s="647"/>
      <c r="AH353" s="647"/>
      <c r="AI353" s="647"/>
      <c r="AJ353" s="647"/>
      <c r="AK353" s="647"/>
      <c r="AL353" s="647"/>
      <c r="AM353" s="647"/>
      <c r="AN353" s="647"/>
      <c r="AO353" s="647"/>
      <c r="AP353" s="647"/>
      <c r="AQ353" s="647"/>
      <c r="AR353" s="647"/>
      <c r="AS353" s="647"/>
      <c r="AT353" s="647"/>
      <c r="AU353" s="647"/>
      <c r="AV353" s="647"/>
      <c r="AW353" s="647"/>
      <c r="AX353" s="647"/>
      <c r="AY353" s="647"/>
      <c r="AZ353" s="647"/>
      <c r="BA353" s="647"/>
      <c r="BB353" s="647"/>
      <c r="BC353" s="647"/>
      <c r="BD353" s="647"/>
      <c r="BE353" s="647"/>
      <c r="BF353" s="647"/>
      <c r="BG353" s="647"/>
      <c r="BH353" s="647"/>
      <c r="BI353" s="647"/>
      <c r="BJ353" s="647"/>
      <c r="BK353" s="647"/>
      <c r="BL353" s="647"/>
      <c r="BM353" s="647"/>
      <c r="BN353" s="647"/>
      <c r="BO353" s="647"/>
      <c r="BP353" s="647"/>
      <c r="BQ353" s="647"/>
      <c r="BR353" s="647"/>
      <c r="BS353" s="647"/>
      <c r="BT353" s="647"/>
      <c r="BU353" s="647"/>
      <c r="BV353" s="647"/>
      <c r="BW353" s="647"/>
      <c r="BX353" s="647"/>
      <c r="BY353" s="647"/>
      <c r="BZ353" s="647"/>
      <c r="CA353" s="647"/>
      <c r="CB353" s="647"/>
      <c r="CC353" s="647"/>
      <c r="CD353" s="647"/>
      <c r="CE353" s="647"/>
      <c r="CF353" s="647"/>
      <c r="CG353" s="647"/>
      <c r="CH353" s="647"/>
      <c r="CI353" s="647"/>
      <c r="CJ353" s="647"/>
      <c r="CK353" s="647"/>
      <c r="CL353" s="647"/>
      <c r="CM353" s="647"/>
      <c r="CN353" s="647"/>
    </row>
    <row r="354" spans="1:92" hidden="1">
      <c r="A354" s="647"/>
      <c r="B354" s="660" t="s">
        <v>1007</v>
      </c>
      <c r="C354" s="647"/>
      <c r="D354" s="647"/>
      <c r="F354" s="647"/>
      <c r="G354" s="647"/>
      <c r="H354" s="647"/>
      <c r="I354" s="647"/>
      <c r="J354" s="647"/>
      <c r="K354" s="647"/>
      <c r="L354" s="647"/>
      <c r="M354" s="647"/>
      <c r="N354" s="647"/>
      <c r="O354" s="647"/>
      <c r="P354" s="647"/>
      <c r="Q354" s="647"/>
      <c r="R354" s="647"/>
      <c r="S354" s="647"/>
      <c r="T354" s="647"/>
      <c r="U354" s="647"/>
      <c r="V354" s="647"/>
      <c r="W354" s="647"/>
      <c r="X354" s="647"/>
      <c r="Y354" s="647"/>
      <c r="Z354" s="647"/>
      <c r="AA354" s="647"/>
      <c r="AB354" s="647"/>
      <c r="AC354" s="647"/>
      <c r="AD354" s="647"/>
      <c r="AE354" s="647"/>
      <c r="AF354" s="647"/>
      <c r="AG354" s="647"/>
      <c r="AH354" s="647"/>
      <c r="AI354" s="647"/>
      <c r="AJ354" s="647"/>
      <c r="AK354" s="647"/>
      <c r="AL354" s="647"/>
      <c r="AM354" s="647"/>
      <c r="AN354" s="647"/>
      <c r="AO354" s="647"/>
      <c r="AP354" s="647"/>
      <c r="AQ354" s="647"/>
      <c r="AR354" s="647"/>
      <c r="AS354" s="647"/>
      <c r="AT354" s="647"/>
      <c r="AU354" s="647"/>
      <c r="AV354" s="647"/>
      <c r="AW354" s="647"/>
      <c r="AX354" s="647"/>
      <c r="AY354" s="647"/>
      <c r="AZ354" s="647"/>
      <c r="BA354" s="647"/>
      <c r="BB354" s="647"/>
      <c r="BC354" s="647"/>
      <c r="BD354" s="647"/>
      <c r="BE354" s="647"/>
      <c r="BF354" s="647"/>
      <c r="BG354" s="647"/>
      <c r="BH354" s="647"/>
      <c r="BI354" s="647"/>
      <c r="BJ354" s="647"/>
      <c r="BK354" s="647"/>
      <c r="BL354" s="647"/>
      <c r="BM354" s="647"/>
      <c r="BN354" s="647"/>
      <c r="BO354" s="647"/>
      <c r="BP354" s="647"/>
      <c r="BQ354" s="647"/>
      <c r="BR354" s="647"/>
      <c r="BS354" s="647"/>
      <c r="BT354" s="647"/>
      <c r="BU354" s="647"/>
      <c r="BV354" s="647"/>
      <c r="BW354" s="647"/>
      <c r="BX354" s="647"/>
      <c r="BY354" s="647"/>
      <c r="BZ354" s="647"/>
      <c r="CA354" s="647"/>
      <c r="CB354" s="647"/>
      <c r="CC354" s="647"/>
      <c r="CD354" s="647"/>
      <c r="CE354" s="647"/>
      <c r="CF354" s="647"/>
      <c r="CG354" s="647"/>
      <c r="CH354" s="647"/>
      <c r="CI354" s="647"/>
      <c r="CJ354" s="647"/>
      <c r="CK354" s="647"/>
      <c r="CL354" s="647"/>
      <c r="CM354" s="647"/>
      <c r="CN354" s="647"/>
    </row>
    <row r="355" spans="1:92" hidden="1">
      <c r="A355" s="647" t="s">
        <v>1007</v>
      </c>
      <c r="B355" s="647" t="s">
        <v>1007</v>
      </c>
      <c r="C355" s="647" t="s">
        <v>1007</v>
      </c>
      <c r="D355" s="647" t="s">
        <v>1007</v>
      </c>
      <c r="F355" s="647"/>
      <c r="G355" s="647"/>
      <c r="H355" s="647"/>
      <c r="I355" s="647"/>
      <c r="J355" s="647"/>
      <c r="K355" s="647"/>
      <c r="L355" s="647"/>
      <c r="M355" s="647"/>
      <c r="N355" s="647"/>
      <c r="O355" s="647"/>
      <c r="P355" s="647"/>
      <c r="Q355" s="647"/>
      <c r="R355" s="647"/>
      <c r="S355" s="647"/>
      <c r="T355" s="647"/>
      <c r="U355" s="647"/>
      <c r="V355" s="647"/>
      <c r="W355" s="647"/>
      <c r="X355" s="647"/>
      <c r="Y355" s="647"/>
      <c r="Z355" s="647"/>
      <c r="AA355" s="647"/>
      <c r="AB355" s="647"/>
      <c r="AC355" s="647"/>
      <c r="AD355" s="647"/>
      <c r="AE355" s="647"/>
      <c r="AF355" s="647"/>
      <c r="AG355" s="647"/>
      <c r="AH355" s="647"/>
      <c r="AI355" s="647"/>
      <c r="AJ355" s="647"/>
      <c r="AK355" s="647"/>
      <c r="AL355" s="647"/>
      <c r="AM355" s="647"/>
      <c r="AN355" s="729"/>
      <c r="AO355" s="729"/>
      <c r="AP355" s="729"/>
      <c r="AQ355" s="729"/>
      <c r="AR355" s="729"/>
      <c r="AS355" s="729"/>
      <c r="AT355" s="729"/>
      <c r="AU355" s="729"/>
      <c r="AV355" s="729"/>
      <c r="AW355" s="729"/>
      <c r="AX355" s="729"/>
      <c r="AY355" s="729"/>
      <c r="AZ355" s="729"/>
      <c r="BA355" s="729"/>
      <c r="BB355" s="729"/>
      <c r="BC355" s="729"/>
      <c r="BD355" s="729"/>
      <c r="BE355" s="729"/>
      <c r="BF355" s="729"/>
      <c r="BG355" s="729"/>
      <c r="BH355" s="729"/>
      <c r="BI355" s="729"/>
      <c r="BJ355" s="729"/>
      <c r="BK355" s="729"/>
      <c r="BL355" s="729"/>
      <c r="BM355" s="729"/>
      <c r="BN355" s="729"/>
      <c r="BO355" s="729"/>
      <c r="BP355" s="729"/>
      <c r="BQ355" s="729"/>
      <c r="BR355" s="729"/>
      <c r="BS355" s="729"/>
      <c r="BT355" s="729"/>
      <c r="BU355" s="729"/>
      <c r="BV355" s="729"/>
      <c r="BW355" s="729"/>
      <c r="BX355" s="729"/>
      <c r="BY355" s="729"/>
      <c r="BZ355" s="729"/>
      <c r="CA355" s="729"/>
      <c r="CB355" s="729"/>
      <c r="CC355" s="729"/>
      <c r="CD355" s="729"/>
      <c r="CE355" s="729"/>
      <c r="CF355" s="729"/>
      <c r="CG355" s="729"/>
      <c r="CH355" s="729"/>
      <c r="CI355" s="729"/>
      <c r="CJ355" s="729"/>
      <c r="CK355" s="729"/>
      <c r="CL355" s="729"/>
      <c r="CM355" s="729"/>
      <c r="CN355" s="729"/>
    </row>
    <row r="356" spans="1:92">
      <c r="A356" s="646" t="s">
        <v>1001</v>
      </c>
      <c r="B356" s="647"/>
      <c r="C356" s="647"/>
      <c r="D356" s="647"/>
      <c r="F356" s="647"/>
      <c r="G356" s="647"/>
      <c r="H356" s="647"/>
      <c r="I356" s="647"/>
      <c r="J356" s="647"/>
      <c r="K356" s="647"/>
      <c r="L356" s="647"/>
      <c r="M356" s="647"/>
      <c r="N356" s="647"/>
      <c r="O356" s="647"/>
      <c r="P356" s="647"/>
      <c r="Q356" s="647"/>
      <c r="R356" s="647"/>
      <c r="S356" s="647"/>
      <c r="T356" s="647"/>
      <c r="U356" s="647"/>
      <c r="V356" s="647"/>
      <c r="W356" s="647"/>
      <c r="X356" s="647"/>
      <c r="Y356" s="647"/>
      <c r="Z356" s="647"/>
      <c r="AA356" s="647"/>
      <c r="AB356" s="647"/>
      <c r="AC356" s="647"/>
      <c r="AD356" s="647"/>
      <c r="AE356" s="647"/>
      <c r="AF356" s="647"/>
      <c r="AG356" s="647"/>
      <c r="AH356" s="647"/>
      <c r="AI356" s="647"/>
      <c r="AJ356" s="647"/>
      <c r="AK356" s="647"/>
      <c r="AL356" s="647"/>
      <c r="AM356" s="647"/>
      <c r="AN356" s="647"/>
      <c r="AO356" s="647"/>
      <c r="AP356" s="647"/>
      <c r="AQ356" s="647"/>
      <c r="AR356" s="647"/>
      <c r="AS356" s="647"/>
      <c r="AT356" s="647"/>
      <c r="AU356" s="647"/>
      <c r="AV356" s="647"/>
      <c r="AW356" s="647"/>
      <c r="AX356" s="647"/>
      <c r="AY356" s="647"/>
      <c r="AZ356" s="647"/>
      <c r="BA356" s="647"/>
      <c r="BB356" s="647"/>
      <c r="BC356" s="647"/>
      <c r="BD356" s="647"/>
      <c r="BE356" s="647"/>
      <c r="BF356" s="647"/>
      <c r="BG356" s="647"/>
      <c r="BH356" s="647"/>
      <c r="BI356" s="647"/>
      <c r="BJ356" s="647"/>
      <c r="BK356" s="647"/>
      <c r="BL356" s="647"/>
      <c r="BM356" s="647"/>
      <c r="BN356" s="647"/>
      <c r="BO356" s="647"/>
      <c r="BP356" s="647"/>
      <c r="BQ356" s="647"/>
      <c r="BR356" s="647"/>
      <c r="BS356" s="647"/>
      <c r="BT356" s="647"/>
      <c r="BU356" s="647"/>
      <c r="BV356" s="647"/>
      <c r="BW356" s="647"/>
      <c r="BX356" s="647"/>
      <c r="BY356" s="647"/>
      <c r="BZ356" s="647"/>
      <c r="CA356" s="647"/>
      <c r="CB356" s="647"/>
      <c r="CC356" s="647"/>
      <c r="CD356" s="647"/>
      <c r="CE356" s="647"/>
      <c r="CF356" s="647"/>
      <c r="CG356" s="647"/>
      <c r="CH356" s="647"/>
      <c r="CI356" s="647"/>
      <c r="CJ356" s="647"/>
      <c r="CK356" s="647"/>
      <c r="CL356" s="647"/>
      <c r="CM356" s="647"/>
      <c r="CN356" s="647"/>
    </row>
    <row r="357" spans="1:92">
      <c r="A357" s="647"/>
      <c r="B357" s="646" t="s">
        <v>1189</v>
      </c>
      <c r="C357" s="647"/>
      <c r="D357" s="647"/>
      <c r="F357" s="647"/>
      <c r="G357" s="647"/>
      <c r="H357" s="647"/>
      <c r="I357" s="647"/>
      <c r="J357" s="647"/>
      <c r="K357" s="647"/>
      <c r="L357" s="647"/>
      <c r="M357" s="647"/>
      <c r="N357" s="647"/>
      <c r="O357" s="647"/>
      <c r="P357" s="647"/>
      <c r="Q357" s="647"/>
      <c r="R357" s="647"/>
      <c r="S357" s="647"/>
      <c r="T357" s="647"/>
      <c r="U357" s="647"/>
      <c r="V357" s="647"/>
      <c r="W357" s="647"/>
      <c r="X357" s="647"/>
      <c r="Y357" s="647"/>
      <c r="Z357" s="647"/>
      <c r="AA357" s="647"/>
      <c r="AB357" s="647"/>
      <c r="AC357" s="647"/>
      <c r="AD357" s="647"/>
      <c r="AE357" s="647"/>
      <c r="AF357" s="647"/>
      <c r="AG357" s="647"/>
      <c r="AH357" s="647"/>
      <c r="AI357" s="647"/>
      <c r="AJ357" s="647"/>
      <c r="AK357" s="647"/>
      <c r="AL357" s="647"/>
      <c r="AM357" s="647"/>
      <c r="AN357" s="647"/>
      <c r="AO357" s="647"/>
      <c r="AP357" s="647"/>
      <c r="AQ357" s="647"/>
      <c r="AR357" s="647"/>
      <c r="AS357" s="647"/>
      <c r="AT357" s="647"/>
      <c r="AU357" s="647"/>
      <c r="AV357" s="647"/>
      <c r="AW357" s="647"/>
      <c r="AX357" s="647"/>
      <c r="AY357" s="647"/>
      <c r="AZ357" s="647"/>
      <c r="BA357" s="647"/>
      <c r="BB357" s="647"/>
      <c r="BC357" s="647"/>
      <c r="BD357" s="647"/>
      <c r="BE357" s="647"/>
      <c r="BF357" s="647"/>
      <c r="BG357" s="647"/>
      <c r="BH357" s="647"/>
      <c r="BI357" s="647"/>
      <c r="BJ357" s="647"/>
      <c r="BK357" s="647"/>
      <c r="BL357" s="647"/>
      <c r="BM357" s="647"/>
      <c r="BN357" s="647"/>
      <c r="BO357" s="647"/>
      <c r="BP357" s="647"/>
      <c r="BQ357" s="647"/>
      <c r="BR357" s="647"/>
      <c r="BS357" s="647"/>
      <c r="BT357" s="647"/>
      <c r="BU357" s="647"/>
      <c r="BV357" s="647"/>
      <c r="BW357" s="647"/>
      <c r="BX357" s="647"/>
      <c r="BY357" s="647"/>
      <c r="BZ357" s="647"/>
      <c r="CA357" s="647"/>
      <c r="CB357" s="647"/>
      <c r="CC357" s="647"/>
      <c r="CD357" s="647"/>
      <c r="CE357" s="647"/>
      <c r="CF357" s="647"/>
      <c r="CG357" s="647"/>
      <c r="CH357" s="647"/>
      <c r="CI357" s="647"/>
      <c r="CJ357" s="647"/>
      <c r="CK357" s="647"/>
      <c r="CL357" s="647"/>
      <c r="CM357" s="647"/>
      <c r="CN357" s="647"/>
    </row>
    <row r="358" spans="1:92">
      <c r="A358" s="647"/>
      <c r="B358" s="647"/>
      <c r="C358" s="647"/>
      <c r="D358" s="647"/>
      <c r="F358" s="647"/>
      <c r="G358" s="660"/>
      <c r="H358" s="647"/>
      <c r="I358" s="647"/>
      <c r="J358" s="647"/>
      <c r="K358" s="647"/>
      <c r="L358" s="647"/>
      <c r="M358" s="647"/>
      <c r="N358" s="647"/>
      <c r="O358" s="647"/>
      <c r="P358" s="647"/>
      <c r="Q358" s="647"/>
      <c r="R358" s="647"/>
      <c r="S358" s="647"/>
      <c r="T358" s="647"/>
      <c r="U358" s="647"/>
      <c r="V358" s="647"/>
      <c r="W358" s="647"/>
      <c r="X358" s="647"/>
      <c r="Y358" s="647"/>
      <c r="Z358" s="647"/>
      <c r="AA358" s="647"/>
      <c r="AB358" s="647"/>
      <c r="AC358" s="647"/>
      <c r="AD358" s="647"/>
      <c r="AE358" s="647"/>
      <c r="AF358" s="647"/>
      <c r="AG358" s="647"/>
      <c r="AH358" s="647"/>
      <c r="AI358" s="647"/>
      <c r="AJ358" s="647"/>
      <c r="AK358" s="647"/>
      <c r="AL358" s="647"/>
      <c r="AM358" s="647"/>
      <c r="AN358" s="647"/>
      <c r="AO358" s="647"/>
      <c r="AP358" s="647"/>
      <c r="AQ358" s="647"/>
      <c r="AR358" s="647"/>
      <c r="AS358" s="647"/>
      <c r="AT358" s="647"/>
      <c r="AU358" s="647"/>
      <c r="AV358" s="647"/>
      <c r="AW358" s="647"/>
      <c r="AX358" s="647"/>
      <c r="AY358" s="647"/>
      <c r="AZ358" s="647"/>
      <c r="BA358" s="647"/>
      <c r="BB358" s="647"/>
      <c r="BC358" s="647"/>
      <c r="BD358" s="647"/>
      <c r="BE358" s="647"/>
      <c r="BF358" s="647"/>
      <c r="BG358" s="647"/>
      <c r="BH358" s="647"/>
      <c r="BI358" s="647"/>
      <c r="BJ358" s="647"/>
      <c r="BK358" s="647"/>
      <c r="BL358" s="647"/>
      <c r="BM358" s="647"/>
      <c r="BN358" s="647"/>
      <c r="BO358" s="647"/>
      <c r="BP358" s="647"/>
      <c r="BQ358" s="647"/>
      <c r="BR358" s="647"/>
      <c r="BS358" s="647"/>
      <c r="BT358" s="647"/>
      <c r="BU358" s="647"/>
      <c r="BV358" s="647"/>
      <c r="BW358" s="647"/>
      <c r="BX358" s="647"/>
      <c r="BY358" s="647"/>
      <c r="BZ358" s="647"/>
      <c r="CA358" s="647"/>
      <c r="CB358" s="647"/>
      <c r="CC358" s="647"/>
      <c r="CD358" s="647"/>
      <c r="CE358" s="647"/>
      <c r="CF358" s="647"/>
      <c r="CG358" s="647"/>
      <c r="CH358" s="647"/>
      <c r="CI358" s="647"/>
      <c r="CJ358" s="647"/>
      <c r="CK358" s="647"/>
      <c r="CL358" s="647"/>
      <c r="CM358" s="647"/>
      <c r="CN358" s="647"/>
    </row>
    <row r="359" spans="1:92" ht="48">
      <c r="A359" s="647"/>
      <c r="B359" s="661" t="s">
        <v>99</v>
      </c>
      <c r="C359" s="661" t="s">
        <v>65</v>
      </c>
      <c r="D359" s="661" t="s">
        <v>1190</v>
      </c>
      <c r="E359" s="662" t="s">
        <v>1191</v>
      </c>
      <c r="F359" s="661" t="s">
        <v>1192</v>
      </c>
      <c r="G359" s="661" t="s">
        <v>1193</v>
      </c>
      <c r="H359" s="647"/>
      <c r="I359" s="647"/>
      <c r="J359" s="647"/>
      <c r="K359" s="647"/>
      <c r="L359" s="647"/>
      <c r="M359" s="647"/>
      <c r="N359" s="647"/>
      <c r="O359" s="647"/>
      <c r="P359" s="647"/>
      <c r="Q359" s="647"/>
      <c r="R359" s="647"/>
      <c r="S359" s="647"/>
      <c r="T359" s="647"/>
      <c r="U359" s="647"/>
      <c r="V359" s="647"/>
      <c r="W359" s="647"/>
      <c r="X359" s="647"/>
      <c r="Y359" s="647"/>
      <c r="Z359" s="647"/>
      <c r="AA359" s="647"/>
      <c r="AB359" s="647"/>
      <c r="AC359" s="647"/>
      <c r="AD359" s="647"/>
      <c r="AE359" s="647"/>
      <c r="AF359" s="647"/>
      <c r="AG359" s="647"/>
      <c r="AH359" s="647"/>
      <c r="AI359" s="647"/>
      <c r="AJ359" s="647"/>
      <c r="AK359" s="647"/>
      <c r="AL359" s="647"/>
      <c r="AM359" s="647"/>
      <c r="AN359" s="647"/>
      <c r="AO359" s="647"/>
      <c r="AP359" s="647"/>
      <c r="AQ359" s="647"/>
      <c r="AR359" s="647"/>
      <c r="AS359" s="647"/>
      <c r="AT359" s="647"/>
      <c r="AU359" s="647"/>
      <c r="AV359" s="647"/>
      <c r="AW359" s="647"/>
      <c r="AX359" s="647"/>
      <c r="AY359" s="647"/>
      <c r="AZ359" s="647"/>
      <c r="BA359" s="647"/>
      <c r="BB359" s="647"/>
      <c r="BC359" s="647"/>
      <c r="BD359" s="647"/>
      <c r="BE359" s="647"/>
      <c r="BF359" s="647"/>
      <c r="BG359" s="647"/>
      <c r="BH359" s="647"/>
      <c r="BI359" s="647"/>
      <c r="BJ359" s="647"/>
      <c r="BK359" s="647"/>
      <c r="BL359" s="647"/>
      <c r="BM359" s="647"/>
      <c r="BN359" s="647"/>
      <c r="BO359" s="647"/>
      <c r="BP359" s="647"/>
      <c r="BQ359" s="647"/>
      <c r="BR359" s="647"/>
      <c r="BS359" s="647"/>
      <c r="BT359" s="647"/>
      <c r="BU359" s="647"/>
      <c r="BV359" s="647"/>
      <c r="BW359" s="647"/>
      <c r="BX359" s="647"/>
      <c r="BY359" s="647"/>
      <c r="BZ359" s="647"/>
      <c r="CA359" s="647"/>
      <c r="CB359" s="647"/>
      <c r="CC359" s="647"/>
      <c r="CD359" s="647"/>
      <c r="CE359" s="647"/>
      <c r="CF359" s="647"/>
      <c r="CG359" s="647"/>
      <c r="CH359" s="647"/>
      <c r="CI359" s="647"/>
      <c r="CJ359" s="647"/>
      <c r="CK359" s="647"/>
      <c r="CL359" s="647"/>
      <c r="CM359" s="647"/>
      <c r="CN359" s="647"/>
    </row>
    <row r="360" spans="1:92">
      <c r="A360" s="647"/>
      <c r="B360" s="663" t="s">
        <v>1027</v>
      </c>
      <c r="C360" s="663" t="s">
        <v>358</v>
      </c>
      <c r="D360" s="664" t="s">
        <v>1007</v>
      </c>
      <c r="E360" s="665" t="s">
        <v>1007</v>
      </c>
      <c r="F360" s="664" t="s">
        <v>1007</v>
      </c>
      <c r="G360" s="664" t="s">
        <v>1007</v>
      </c>
      <c r="H360" s="647"/>
      <c r="I360" s="647"/>
      <c r="J360" s="647"/>
      <c r="K360" s="647"/>
      <c r="L360" s="647"/>
      <c r="M360" s="647"/>
      <c r="N360" s="647"/>
      <c r="O360" s="647"/>
      <c r="P360" s="647"/>
      <c r="Q360" s="647"/>
      <c r="R360" s="647"/>
      <c r="S360" s="647"/>
      <c r="T360" s="647"/>
      <c r="U360" s="647"/>
      <c r="V360" s="647"/>
      <c r="W360" s="647"/>
      <c r="X360" s="647"/>
      <c r="Y360" s="647"/>
      <c r="Z360" s="647"/>
      <c r="AA360" s="647"/>
      <c r="AB360" s="647"/>
      <c r="AC360" s="647"/>
      <c r="AD360" s="647"/>
      <c r="AE360" s="647"/>
      <c r="AF360" s="647"/>
      <c r="AG360" s="647"/>
      <c r="AH360" s="647"/>
      <c r="AI360" s="647"/>
      <c r="AJ360" s="647"/>
      <c r="AK360" s="647"/>
      <c r="AL360" s="647"/>
      <c r="AM360" s="647"/>
      <c r="AN360" s="647"/>
      <c r="AO360" s="647"/>
      <c r="AP360" s="647"/>
      <c r="AQ360" s="647"/>
      <c r="AR360" s="647"/>
      <c r="AS360" s="647"/>
      <c r="AT360" s="647"/>
      <c r="AU360" s="647"/>
      <c r="AV360" s="647"/>
      <c r="AW360" s="647"/>
      <c r="AX360" s="647"/>
      <c r="AY360" s="647"/>
      <c r="AZ360" s="647"/>
      <c r="BA360" s="647"/>
      <c r="BB360" s="647"/>
      <c r="BC360" s="647"/>
      <c r="BD360" s="647"/>
      <c r="BE360" s="647"/>
      <c r="BF360" s="647"/>
      <c r="BG360" s="647"/>
      <c r="BH360" s="647"/>
      <c r="BI360" s="647"/>
      <c r="BJ360" s="647"/>
      <c r="BK360" s="647"/>
      <c r="BL360" s="647"/>
      <c r="BM360" s="647"/>
      <c r="BN360" s="647"/>
      <c r="BO360" s="647"/>
      <c r="BP360" s="647"/>
      <c r="BQ360" s="647"/>
      <c r="BR360" s="647"/>
      <c r="BS360" s="647"/>
      <c r="BT360" s="647"/>
      <c r="BU360" s="647"/>
      <c r="BV360" s="647"/>
      <c r="BW360" s="647"/>
      <c r="BX360" s="647"/>
      <c r="BY360" s="647"/>
      <c r="BZ360" s="647"/>
      <c r="CA360" s="647"/>
      <c r="CB360" s="647"/>
      <c r="CC360" s="647"/>
      <c r="CD360" s="647"/>
      <c r="CE360" s="647"/>
      <c r="CF360" s="647"/>
      <c r="CG360" s="647"/>
      <c r="CH360" s="647"/>
      <c r="CI360" s="647"/>
      <c r="CJ360" s="647"/>
      <c r="CK360" s="647"/>
      <c r="CL360" s="647"/>
      <c r="CM360" s="647"/>
      <c r="CN360" s="647"/>
    </row>
    <row r="361" spans="1:92" ht="24">
      <c r="A361" s="647"/>
      <c r="B361" s="663" t="s">
        <v>1010</v>
      </c>
      <c r="C361" s="663" t="s">
        <v>1194</v>
      </c>
      <c r="D361" s="664" t="s">
        <v>1007</v>
      </c>
      <c r="E361" s="665" t="s">
        <v>1007</v>
      </c>
      <c r="F361" s="664" t="s">
        <v>1007</v>
      </c>
      <c r="G361" s="664" t="s">
        <v>1007</v>
      </c>
      <c r="H361" s="647"/>
      <c r="I361" s="647"/>
      <c r="J361" s="647"/>
      <c r="K361" s="647"/>
      <c r="L361" s="647"/>
      <c r="M361" s="647"/>
      <c r="N361" s="647"/>
      <c r="O361" s="647"/>
      <c r="P361" s="647"/>
      <c r="Q361" s="647"/>
      <c r="R361" s="647"/>
      <c r="S361" s="647"/>
      <c r="T361" s="647"/>
      <c r="U361" s="647"/>
      <c r="V361" s="647"/>
      <c r="W361" s="647"/>
      <c r="X361" s="647"/>
      <c r="Y361" s="647"/>
      <c r="Z361" s="647"/>
      <c r="AA361" s="647"/>
      <c r="AB361" s="647"/>
      <c r="AC361" s="647"/>
      <c r="AD361" s="647"/>
      <c r="AE361" s="647"/>
      <c r="AF361" s="647"/>
      <c r="AG361" s="647"/>
      <c r="AH361" s="647"/>
      <c r="AI361" s="647"/>
      <c r="AJ361" s="647"/>
      <c r="AK361" s="647"/>
      <c r="AL361" s="647"/>
      <c r="AM361" s="647"/>
      <c r="AN361" s="647"/>
      <c r="AO361" s="647"/>
      <c r="AP361" s="647"/>
      <c r="AQ361" s="647"/>
      <c r="AR361" s="647"/>
      <c r="AS361" s="647"/>
      <c r="AT361" s="647"/>
      <c r="AU361" s="647"/>
      <c r="AV361" s="647"/>
      <c r="AW361" s="647"/>
      <c r="AX361" s="647"/>
      <c r="AY361" s="647"/>
      <c r="AZ361" s="647"/>
      <c r="BA361" s="647"/>
      <c r="BB361" s="647"/>
      <c r="BC361" s="647"/>
      <c r="BD361" s="647"/>
      <c r="BE361" s="647"/>
      <c r="BF361" s="647"/>
      <c r="BG361" s="647"/>
      <c r="BH361" s="647"/>
      <c r="BI361" s="647"/>
      <c r="BJ361" s="647"/>
      <c r="BK361" s="647"/>
      <c r="BL361" s="647"/>
      <c r="BM361" s="647"/>
      <c r="BN361" s="647"/>
      <c r="BO361" s="647"/>
      <c r="BP361" s="647"/>
      <c r="BQ361" s="647"/>
      <c r="BR361" s="647"/>
      <c r="BS361" s="647"/>
      <c r="BT361" s="647"/>
      <c r="BU361" s="647"/>
      <c r="BV361" s="647"/>
      <c r="BW361" s="647"/>
      <c r="BX361" s="647"/>
      <c r="BY361" s="647"/>
      <c r="BZ361" s="647"/>
      <c r="CA361" s="647"/>
      <c r="CB361" s="647"/>
      <c r="CC361" s="647"/>
      <c r="CD361" s="647"/>
      <c r="CE361" s="647"/>
      <c r="CF361" s="647"/>
      <c r="CG361" s="647"/>
      <c r="CH361" s="647"/>
      <c r="CI361" s="647"/>
      <c r="CJ361" s="647"/>
      <c r="CK361" s="647"/>
      <c r="CL361" s="647"/>
      <c r="CM361" s="647"/>
      <c r="CN361" s="647"/>
    </row>
    <row r="362" spans="1:92">
      <c r="A362" s="647"/>
      <c r="B362" s="663" t="s">
        <v>1071</v>
      </c>
      <c r="C362" s="663" t="s">
        <v>1195</v>
      </c>
      <c r="D362" s="664" t="s">
        <v>1007</v>
      </c>
      <c r="E362" s="665" t="s">
        <v>1007</v>
      </c>
      <c r="F362" s="664" t="s">
        <v>1007</v>
      </c>
      <c r="G362" s="664" t="s">
        <v>1007</v>
      </c>
      <c r="H362" s="647"/>
      <c r="I362" s="647"/>
      <c r="J362" s="647"/>
      <c r="K362" s="647"/>
      <c r="L362" s="647"/>
      <c r="M362" s="647"/>
      <c r="N362" s="647"/>
      <c r="O362" s="647"/>
      <c r="P362" s="647"/>
      <c r="Q362" s="647"/>
      <c r="R362" s="647"/>
      <c r="S362" s="647"/>
      <c r="T362" s="647"/>
      <c r="U362" s="647"/>
      <c r="V362" s="647"/>
      <c r="W362" s="647"/>
      <c r="X362" s="647"/>
      <c r="Y362" s="647"/>
      <c r="Z362" s="647"/>
      <c r="AA362" s="647"/>
      <c r="AB362" s="647"/>
      <c r="AC362" s="647"/>
      <c r="AD362" s="647"/>
      <c r="AE362" s="647"/>
      <c r="AF362" s="647"/>
      <c r="AG362" s="647"/>
      <c r="AH362" s="647"/>
      <c r="AI362" s="647"/>
      <c r="AJ362" s="647"/>
      <c r="AK362" s="647"/>
      <c r="AL362" s="647"/>
      <c r="AM362" s="647"/>
      <c r="AN362" s="647"/>
      <c r="AO362" s="647"/>
      <c r="AP362" s="647"/>
      <c r="AQ362" s="647"/>
      <c r="AR362" s="647"/>
      <c r="AS362" s="647"/>
      <c r="AT362" s="647"/>
      <c r="AU362" s="647"/>
      <c r="AV362" s="647"/>
      <c r="AW362" s="647"/>
      <c r="AX362" s="647"/>
      <c r="AY362" s="647"/>
      <c r="AZ362" s="647"/>
      <c r="BA362" s="647"/>
      <c r="BB362" s="647"/>
      <c r="BC362" s="647"/>
      <c r="BD362" s="647"/>
      <c r="BE362" s="647"/>
      <c r="BF362" s="647"/>
      <c r="BG362" s="647"/>
      <c r="BH362" s="647"/>
      <c r="BI362" s="647"/>
      <c r="BJ362" s="647"/>
      <c r="BK362" s="647"/>
      <c r="BL362" s="647"/>
      <c r="BM362" s="647"/>
      <c r="BN362" s="647"/>
      <c r="BO362" s="647"/>
      <c r="BP362" s="647"/>
      <c r="BQ362" s="647"/>
      <c r="BR362" s="647"/>
      <c r="BS362" s="647"/>
      <c r="BT362" s="647"/>
      <c r="BU362" s="647"/>
      <c r="BV362" s="647"/>
      <c r="BW362" s="647"/>
      <c r="BX362" s="647"/>
      <c r="BY362" s="647"/>
      <c r="BZ362" s="647"/>
      <c r="CA362" s="647"/>
      <c r="CB362" s="647"/>
      <c r="CC362" s="647"/>
      <c r="CD362" s="647"/>
      <c r="CE362" s="647"/>
      <c r="CF362" s="647"/>
      <c r="CG362" s="647"/>
      <c r="CH362" s="647"/>
      <c r="CI362" s="647"/>
      <c r="CJ362" s="647"/>
      <c r="CK362" s="647"/>
      <c r="CL362" s="647"/>
      <c r="CM362" s="647"/>
      <c r="CN362" s="647"/>
    </row>
    <row r="363" spans="1:92">
      <c r="A363" s="647" t="s">
        <v>1007</v>
      </c>
      <c r="B363" s="647" t="s">
        <v>1007</v>
      </c>
      <c r="C363" s="647" t="s">
        <v>1007</v>
      </c>
      <c r="D363" s="647" t="s">
        <v>1007</v>
      </c>
      <c r="F363" s="647"/>
      <c r="G363" s="647"/>
      <c r="H363" s="647"/>
      <c r="I363" s="647"/>
      <c r="J363" s="647"/>
      <c r="K363" s="647"/>
      <c r="L363" s="647"/>
      <c r="M363" s="647"/>
      <c r="N363" s="647"/>
      <c r="O363" s="647"/>
      <c r="P363" s="647"/>
      <c r="Q363" s="647"/>
      <c r="R363" s="647"/>
      <c r="S363" s="647"/>
      <c r="T363" s="647"/>
      <c r="U363" s="647"/>
      <c r="V363" s="647"/>
      <c r="W363" s="647"/>
      <c r="X363" s="647"/>
      <c r="Y363" s="647"/>
      <c r="Z363" s="647"/>
      <c r="AA363" s="647"/>
      <c r="AB363" s="647"/>
      <c r="AC363" s="647"/>
      <c r="AD363" s="647"/>
      <c r="AE363" s="647"/>
      <c r="AF363" s="647"/>
      <c r="AG363" s="647"/>
      <c r="AH363" s="647"/>
      <c r="AI363" s="647"/>
      <c r="AJ363" s="647"/>
      <c r="AK363" s="647"/>
      <c r="AL363" s="647"/>
      <c r="AM363" s="647"/>
      <c r="AN363" s="729"/>
      <c r="AO363" s="729"/>
      <c r="AP363" s="729"/>
      <c r="AQ363" s="729"/>
      <c r="AR363" s="729"/>
      <c r="AS363" s="729"/>
      <c r="AT363" s="729"/>
      <c r="AU363" s="729"/>
      <c r="AV363" s="729"/>
      <c r="AW363" s="729"/>
      <c r="AX363" s="729"/>
      <c r="AY363" s="729"/>
      <c r="AZ363" s="729"/>
      <c r="BA363" s="729"/>
      <c r="BB363" s="729"/>
      <c r="BC363" s="729"/>
      <c r="BD363" s="729"/>
      <c r="BE363" s="729"/>
      <c r="BF363" s="729"/>
      <c r="BG363" s="729"/>
      <c r="BH363" s="729"/>
      <c r="BI363" s="729"/>
      <c r="BJ363" s="729"/>
      <c r="BK363" s="729"/>
      <c r="BL363" s="729"/>
      <c r="BM363" s="729"/>
      <c r="BN363" s="729"/>
      <c r="BO363" s="729"/>
      <c r="BP363" s="729"/>
      <c r="BQ363" s="729"/>
      <c r="BR363" s="729"/>
      <c r="BS363" s="729"/>
      <c r="BT363" s="729"/>
      <c r="BU363" s="729"/>
      <c r="BV363" s="729"/>
      <c r="BW363" s="729"/>
      <c r="BX363" s="729"/>
      <c r="BY363" s="729"/>
      <c r="BZ363" s="729"/>
      <c r="CA363" s="729"/>
      <c r="CB363" s="729"/>
      <c r="CC363" s="729"/>
      <c r="CD363" s="729"/>
      <c r="CE363" s="729"/>
      <c r="CF363" s="729"/>
      <c r="CG363" s="729"/>
      <c r="CH363" s="729"/>
      <c r="CI363" s="729"/>
      <c r="CJ363" s="729"/>
      <c r="CK363" s="729"/>
      <c r="CL363" s="729"/>
      <c r="CM363" s="729"/>
      <c r="CN363" s="729"/>
    </row>
    <row r="364" spans="1:92">
      <c r="A364" s="646" t="s">
        <v>1001</v>
      </c>
      <c r="B364" s="647"/>
      <c r="C364" s="647"/>
      <c r="D364" s="647"/>
      <c r="F364" s="647"/>
      <c r="G364" s="647"/>
      <c r="H364" s="647"/>
      <c r="I364" s="647"/>
      <c r="J364" s="647"/>
      <c r="K364" s="647"/>
      <c r="L364" s="647"/>
      <c r="M364" s="647"/>
      <c r="N364" s="647"/>
      <c r="O364" s="647"/>
      <c r="P364" s="647"/>
      <c r="Q364" s="647"/>
      <c r="R364" s="647"/>
      <c r="S364" s="647"/>
      <c r="T364" s="647"/>
      <c r="U364" s="647"/>
      <c r="V364" s="647"/>
      <c r="W364" s="647"/>
      <c r="X364" s="647"/>
      <c r="Y364" s="647"/>
      <c r="Z364" s="647"/>
      <c r="AA364" s="647"/>
      <c r="AB364" s="647"/>
      <c r="AC364" s="647"/>
      <c r="AD364" s="647"/>
      <c r="AE364" s="647"/>
      <c r="AF364" s="647"/>
      <c r="AG364" s="647"/>
      <c r="AH364" s="647"/>
      <c r="AI364" s="647"/>
      <c r="AJ364" s="647"/>
      <c r="AK364" s="647"/>
      <c r="AL364" s="647"/>
      <c r="AM364" s="647"/>
      <c r="AN364" s="647"/>
      <c r="AO364" s="647"/>
      <c r="AP364" s="647"/>
      <c r="AQ364" s="647"/>
      <c r="AR364" s="647"/>
      <c r="AS364" s="647"/>
      <c r="AT364" s="647"/>
      <c r="AU364" s="647"/>
      <c r="AV364" s="647"/>
      <c r="AW364" s="647"/>
      <c r="AX364" s="647"/>
      <c r="AY364" s="647"/>
      <c r="AZ364" s="647"/>
      <c r="BA364" s="647"/>
      <c r="BB364" s="647"/>
      <c r="BC364" s="647"/>
      <c r="BD364" s="647"/>
      <c r="BE364" s="647"/>
      <c r="BF364" s="647"/>
      <c r="BG364" s="647"/>
      <c r="BH364" s="647"/>
      <c r="BI364" s="647"/>
      <c r="BJ364" s="647"/>
      <c r="BK364" s="647"/>
      <c r="BL364" s="647"/>
      <c r="BM364" s="647"/>
      <c r="BN364" s="647"/>
      <c r="BO364" s="647"/>
      <c r="BP364" s="647"/>
      <c r="BQ364" s="647"/>
      <c r="BR364" s="647"/>
      <c r="BS364" s="647"/>
      <c r="BT364" s="647"/>
      <c r="BU364" s="647"/>
      <c r="BV364" s="647"/>
      <c r="BW364" s="647"/>
      <c r="BX364" s="647"/>
      <c r="BY364" s="647"/>
      <c r="BZ364" s="647"/>
      <c r="CA364" s="647"/>
      <c r="CB364" s="647"/>
      <c r="CC364" s="647"/>
      <c r="CD364" s="647"/>
      <c r="CE364" s="647"/>
      <c r="CF364" s="647"/>
      <c r="CG364" s="647"/>
      <c r="CH364" s="647"/>
      <c r="CI364" s="647"/>
      <c r="CJ364" s="647"/>
      <c r="CK364" s="647"/>
      <c r="CL364" s="647"/>
      <c r="CM364" s="647"/>
      <c r="CN364" s="647"/>
    </row>
    <row r="365" spans="1:92" hidden="1">
      <c r="A365" s="647"/>
      <c r="B365" s="646" t="s">
        <v>1196</v>
      </c>
      <c r="C365" s="647"/>
      <c r="D365" s="647"/>
      <c r="F365" s="647"/>
      <c r="G365" s="647"/>
      <c r="H365" s="647"/>
      <c r="I365" s="647"/>
      <c r="J365" s="647"/>
      <c r="K365" s="647"/>
      <c r="L365" s="647"/>
      <c r="M365" s="647"/>
      <c r="N365" s="647"/>
      <c r="O365" s="647"/>
      <c r="P365" s="647"/>
      <c r="Q365" s="647"/>
      <c r="R365" s="647"/>
      <c r="S365" s="647"/>
      <c r="T365" s="647"/>
      <c r="U365" s="647"/>
      <c r="V365" s="647"/>
      <c r="W365" s="647"/>
      <c r="X365" s="647"/>
      <c r="Y365" s="647"/>
      <c r="Z365" s="647"/>
      <c r="AA365" s="647"/>
      <c r="AB365" s="647"/>
      <c r="AC365" s="647"/>
      <c r="AD365" s="647"/>
      <c r="AE365" s="647"/>
      <c r="AF365" s="647"/>
      <c r="AG365" s="647"/>
      <c r="AH365" s="647"/>
      <c r="AI365" s="647"/>
      <c r="AJ365" s="647"/>
      <c r="AK365" s="647"/>
      <c r="AL365" s="647"/>
      <c r="AM365" s="647"/>
      <c r="AN365" s="647"/>
      <c r="AO365" s="647"/>
      <c r="AP365" s="647"/>
      <c r="AQ365" s="647"/>
      <c r="AR365" s="647"/>
      <c r="AS365" s="647"/>
      <c r="AT365" s="647"/>
      <c r="AU365" s="647"/>
      <c r="AV365" s="647"/>
      <c r="AW365" s="647"/>
      <c r="AX365" s="647"/>
      <c r="AY365" s="647"/>
      <c r="AZ365" s="647"/>
      <c r="BA365" s="647"/>
      <c r="BB365" s="647"/>
      <c r="BC365" s="647"/>
      <c r="BD365" s="647"/>
      <c r="BE365" s="647"/>
      <c r="BF365" s="647"/>
      <c r="BG365" s="647"/>
      <c r="BH365" s="647"/>
      <c r="BI365" s="647"/>
      <c r="BJ365" s="647"/>
      <c r="BK365" s="647"/>
      <c r="BL365" s="647"/>
      <c r="BM365" s="647"/>
      <c r="BN365" s="647"/>
      <c r="BO365" s="647"/>
      <c r="BP365" s="647"/>
      <c r="BQ365" s="647"/>
      <c r="BR365" s="647"/>
      <c r="BS365" s="647"/>
      <c r="BT365" s="647"/>
      <c r="BU365" s="647"/>
      <c r="BV365" s="647"/>
      <c r="BW365" s="647"/>
      <c r="BX365" s="647"/>
      <c r="BY365" s="647"/>
      <c r="BZ365" s="647"/>
      <c r="CA365" s="647"/>
      <c r="CB365" s="647"/>
      <c r="CC365" s="647"/>
      <c r="CD365" s="647"/>
      <c r="CE365" s="647"/>
      <c r="CF365" s="647"/>
      <c r="CG365" s="647"/>
      <c r="CH365" s="647"/>
      <c r="CI365" s="647"/>
      <c r="CJ365" s="647"/>
      <c r="CK365" s="647"/>
      <c r="CL365" s="647"/>
      <c r="CM365" s="647"/>
      <c r="CN365" s="647"/>
    </row>
    <row r="366" spans="1:92" hidden="1">
      <c r="A366" s="647"/>
      <c r="B366" s="647"/>
      <c r="C366" s="647"/>
      <c r="D366" s="647"/>
      <c r="E366" s="649"/>
      <c r="F366" s="647"/>
      <c r="G366" s="647"/>
      <c r="H366" s="647"/>
      <c r="I366" s="647"/>
      <c r="J366" s="647"/>
      <c r="K366" s="647"/>
      <c r="L366" s="647"/>
      <c r="M366" s="647"/>
      <c r="N366" s="647"/>
      <c r="O366" s="647"/>
      <c r="P366" s="647"/>
      <c r="Q366" s="647"/>
      <c r="R366" s="647"/>
      <c r="S366" s="647"/>
      <c r="T366" s="647"/>
      <c r="U366" s="647"/>
      <c r="V366" s="647"/>
      <c r="W366" s="647"/>
      <c r="X366" s="647"/>
      <c r="Y366" s="647"/>
      <c r="Z366" s="647"/>
      <c r="AA366" s="647"/>
      <c r="AB366" s="647"/>
      <c r="AC366" s="647"/>
      <c r="AD366" s="647"/>
      <c r="AE366" s="647"/>
      <c r="AF366" s="647"/>
      <c r="AG366" s="647"/>
      <c r="AH366" s="647"/>
      <c r="AI366" s="647"/>
      <c r="AJ366" s="647"/>
      <c r="AK366" s="647"/>
      <c r="AL366" s="647"/>
      <c r="AM366" s="647"/>
      <c r="AN366" s="647"/>
      <c r="AO366" s="647"/>
      <c r="AP366" s="647"/>
      <c r="AQ366" s="647"/>
      <c r="AR366" s="647"/>
      <c r="AS366" s="647"/>
      <c r="AT366" s="647"/>
      <c r="AU366" s="647"/>
      <c r="AV366" s="647"/>
      <c r="AW366" s="647"/>
      <c r="AX366" s="647"/>
      <c r="AY366" s="647"/>
      <c r="AZ366" s="647"/>
      <c r="BA366" s="647"/>
      <c r="BB366" s="647"/>
      <c r="BC366" s="647"/>
      <c r="BD366" s="647"/>
      <c r="BE366" s="647"/>
      <c r="BF366" s="647"/>
      <c r="BG366" s="647"/>
      <c r="BH366" s="647"/>
      <c r="BI366" s="647"/>
      <c r="BJ366" s="647"/>
      <c r="BK366" s="647"/>
      <c r="BL366" s="647"/>
      <c r="BM366" s="647"/>
      <c r="BN366" s="647"/>
      <c r="BO366" s="647"/>
      <c r="BP366" s="647"/>
      <c r="BQ366" s="647"/>
      <c r="BR366" s="647"/>
      <c r="BS366" s="647"/>
      <c r="BT366" s="647"/>
      <c r="BU366" s="647"/>
      <c r="BV366" s="647"/>
      <c r="BW366" s="647"/>
      <c r="BX366" s="647"/>
      <c r="BY366" s="647"/>
      <c r="BZ366" s="647"/>
      <c r="CA366" s="647"/>
      <c r="CB366" s="647"/>
      <c r="CC366" s="647"/>
      <c r="CD366" s="647"/>
      <c r="CE366" s="647"/>
      <c r="CF366" s="647"/>
      <c r="CG366" s="647"/>
      <c r="CH366" s="647"/>
      <c r="CI366" s="647"/>
      <c r="CJ366" s="647"/>
      <c r="CK366" s="647"/>
      <c r="CL366" s="647"/>
      <c r="CM366" s="647"/>
      <c r="CN366" s="647"/>
    </row>
    <row r="367" spans="1:92" ht="24">
      <c r="A367" s="647"/>
      <c r="B367" s="661" t="s">
        <v>99</v>
      </c>
      <c r="C367" s="661" t="s">
        <v>65</v>
      </c>
      <c r="D367" s="661" t="s">
        <v>5</v>
      </c>
      <c r="E367" s="662" t="s">
        <v>2</v>
      </c>
      <c r="F367" s="647"/>
      <c r="G367" s="647"/>
      <c r="H367" s="647"/>
      <c r="I367" s="647"/>
      <c r="J367" s="647"/>
      <c r="K367" s="647"/>
      <c r="L367" s="647"/>
      <c r="M367" s="647"/>
      <c r="N367" s="647"/>
      <c r="O367" s="647"/>
      <c r="P367" s="647"/>
      <c r="Q367" s="647"/>
      <c r="R367" s="647"/>
      <c r="S367" s="647"/>
      <c r="T367" s="647"/>
      <c r="U367" s="647"/>
      <c r="V367" s="647"/>
      <c r="W367" s="647"/>
      <c r="X367" s="647"/>
      <c r="Y367" s="647"/>
      <c r="Z367" s="647"/>
      <c r="AA367" s="647"/>
      <c r="AB367" s="647"/>
      <c r="AC367" s="647"/>
      <c r="AD367" s="647"/>
      <c r="AE367" s="647"/>
      <c r="AF367" s="647"/>
      <c r="AG367" s="647"/>
      <c r="AH367" s="647"/>
      <c r="AI367" s="647"/>
      <c r="AJ367" s="647"/>
      <c r="AK367" s="647"/>
      <c r="AL367" s="647"/>
      <c r="AM367" s="647"/>
      <c r="AN367" s="647"/>
      <c r="AO367" s="647"/>
      <c r="AP367" s="647"/>
      <c r="AQ367" s="647"/>
      <c r="AR367" s="647"/>
      <c r="AS367" s="647"/>
      <c r="AT367" s="647"/>
      <c r="AU367" s="647"/>
      <c r="AV367" s="647"/>
      <c r="AW367" s="647"/>
      <c r="AX367" s="647"/>
      <c r="AY367" s="647"/>
      <c r="AZ367" s="647"/>
      <c r="BA367" s="647"/>
      <c r="BB367" s="647"/>
      <c r="BC367" s="647"/>
      <c r="BD367" s="647"/>
      <c r="BE367" s="647"/>
      <c r="BF367" s="647"/>
      <c r="BG367" s="647"/>
      <c r="BH367" s="647"/>
      <c r="BI367" s="647"/>
      <c r="BJ367" s="647"/>
      <c r="BK367" s="647"/>
      <c r="BL367" s="647"/>
      <c r="BM367" s="647"/>
      <c r="BN367" s="647"/>
      <c r="BO367" s="647"/>
      <c r="BP367" s="647"/>
      <c r="BQ367" s="647"/>
      <c r="BR367" s="647"/>
      <c r="BS367" s="647"/>
      <c r="BT367" s="647"/>
      <c r="BU367" s="647"/>
      <c r="BV367" s="647"/>
      <c r="BW367" s="647"/>
      <c r="BX367" s="647"/>
      <c r="BY367" s="647"/>
      <c r="BZ367" s="647"/>
      <c r="CA367" s="647"/>
      <c r="CB367" s="647"/>
      <c r="CC367" s="647"/>
      <c r="CD367" s="647"/>
      <c r="CE367" s="647"/>
      <c r="CF367" s="647"/>
      <c r="CG367" s="647"/>
      <c r="CH367" s="647"/>
      <c r="CI367" s="647"/>
      <c r="CJ367" s="647"/>
      <c r="CK367" s="647"/>
      <c r="CL367" s="647"/>
      <c r="CM367" s="647"/>
      <c r="CN367" s="647"/>
    </row>
    <row r="368" spans="1:92" ht="24">
      <c r="A368" s="647"/>
      <c r="B368" s="663" t="s">
        <v>1027</v>
      </c>
      <c r="C368" s="663" t="s">
        <v>1197</v>
      </c>
      <c r="D368" s="664">
        <v>0</v>
      </c>
      <c r="E368" s="665">
        <v>0</v>
      </c>
      <c r="F368" s="647"/>
      <c r="G368" s="647"/>
      <c r="H368" s="647"/>
      <c r="I368" s="647"/>
      <c r="J368" s="647"/>
      <c r="K368" s="647"/>
      <c r="L368" s="647"/>
      <c r="M368" s="647"/>
      <c r="N368" s="647"/>
      <c r="O368" s="647"/>
      <c r="P368" s="647"/>
      <c r="Q368" s="647"/>
      <c r="R368" s="647"/>
      <c r="S368" s="647"/>
      <c r="T368" s="647"/>
      <c r="U368" s="647"/>
      <c r="V368" s="647"/>
      <c r="W368" s="647"/>
      <c r="X368" s="647"/>
      <c r="Y368" s="647"/>
      <c r="Z368" s="647"/>
      <c r="AA368" s="647"/>
      <c r="AB368" s="647"/>
      <c r="AC368" s="647"/>
      <c r="AD368" s="647"/>
      <c r="AE368" s="647"/>
      <c r="AF368" s="647"/>
      <c r="AG368" s="647"/>
      <c r="AH368" s="647"/>
      <c r="AI368" s="647"/>
      <c r="AJ368" s="647"/>
      <c r="AK368" s="647"/>
      <c r="AL368" s="647"/>
      <c r="AM368" s="647"/>
      <c r="AN368" s="647"/>
      <c r="AO368" s="647"/>
      <c r="AP368" s="647"/>
      <c r="AQ368" s="647"/>
      <c r="AR368" s="647"/>
      <c r="AS368" s="647"/>
      <c r="AT368" s="647"/>
      <c r="AU368" s="647"/>
      <c r="AV368" s="647"/>
      <c r="AW368" s="647"/>
      <c r="AX368" s="647"/>
      <c r="AY368" s="647"/>
      <c r="AZ368" s="647"/>
      <c r="BA368" s="647"/>
      <c r="BB368" s="647"/>
      <c r="BC368" s="647"/>
      <c r="BD368" s="647"/>
      <c r="BE368" s="647"/>
      <c r="BF368" s="647"/>
      <c r="BG368" s="647"/>
      <c r="BH368" s="647"/>
      <c r="BI368" s="647"/>
      <c r="BJ368" s="647"/>
      <c r="BK368" s="647"/>
      <c r="BL368" s="647"/>
      <c r="BM368" s="647"/>
      <c r="BN368" s="647"/>
      <c r="BO368" s="647"/>
      <c r="BP368" s="647"/>
      <c r="BQ368" s="647"/>
      <c r="BR368" s="647"/>
      <c r="BS368" s="647"/>
      <c r="BT368" s="647"/>
      <c r="BU368" s="647"/>
      <c r="BV368" s="647"/>
      <c r="BW368" s="647"/>
      <c r="BX368" s="647"/>
      <c r="BY368" s="647"/>
      <c r="BZ368" s="647"/>
      <c r="CA368" s="647"/>
      <c r="CB368" s="647"/>
      <c r="CC368" s="647"/>
      <c r="CD368" s="647"/>
      <c r="CE368" s="647"/>
      <c r="CF368" s="647"/>
      <c r="CG368" s="647"/>
      <c r="CH368" s="647"/>
      <c r="CI368" s="647"/>
      <c r="CJ368" s="647"/>
      <c r="CK368" s="647"/>
      <c r="CL368" s="647"/>
      <c r="CM368" s="647"/>
      <c r="CN368" s="647"/>
    </row>
    <row r="369" spans="1:92">
      <c r="A369" s="647"/>
      <c r="B369" s="663" t="s">
        <v>1010</v>
      </c>
      <c r="C369" s="663" t="s">
        <v>1198</v>
      </c>
      <c r="D369" s="664">
        <v>0</v>
      </c>
      <c r="E369" s="665">
        <v>0</v>
      </c>
      <c r="F369" s="647"/>
      <c r="G369" s="647"/>
      <c r="H369" s="647"/>
      <c r="I369" s="647"/>
      <c r="J369" s="647"/>
      <c r="K369" s="647"/>
      <c r="L369" s="647"/>
      <c r="M369" s="647"/>
      <c r="N369" s="647"/>
      <c r="O369" s="647"/>
      <c r="P369" s="647"/>
      <c r="Q369" s="647"/>
      <c r="R369" s="647"/>
      <c r="S369" s="647"/>
      <c r="T369" s="647"/>
      <c r="U369" s="647"/>
      <c r="V369" s="647"/>
      <c r="W369" s="647"/>
      <c r="X369" s="647"/>
      <c r="Y369" s="647"/>
      <c r="Z369" s="647"/>
      <c r="AA369" s="647"/>
      <c r="AB369" s="647"/>
      <c r="AC369" s="647"/>
      <c r="AD369" s="647"/>
      <c r="AE369" s="647"/>
      <c r="AF369" s="647"/>
      <c r="AG369" s="647"/>
      <c r="AH369" s="647"/>
      <c r="AI369" s="647"/>
      <c r="AJ369" s="647"/>
      <c r="AK369" s="647"/>
      <c r="AL369" s="647"/>
      <c r="AM369" s="647"/>
      <c r="AN369" s="647"/>
      <c r="AO369" s="647"/>
      <c r="AP369" s="647"/>
      <c r="AQ369" s="647"/>
      <c r="AR369" s="647"/>
      <c r="AS369" s="647"/>
      <c r="AT369" s="647"/>
      <c r="AU369" s="647"/>
      <c r="AV369" s="647"/>
      <c r="AW369" s="647"/>
      <c r="AX369" s="647"/>
      <c r="AY369" s="647"/>
      <c r="AZ369" s="647"/>
      <c r="BA369" s="647"/>
      <c r="BB369" s="647"/>
      <c r="BC369" s="647"/>
      <c r="BD369" s="647"/>
      <c r="BE369" s="647"/>
      <c r="BF369" s="647"/>
      <c r="BG369" s="647"/>
      <c r="BH369" s="647"/>
      <c r="BI369" s="647"/>
      <c r="BJ369" s="647"/>
      <c r="BK369" s="647"/>
      <c r="BL369" s="647"/>
      <c r="BM369" s="647"/>
      <c r="BN369" s="647"/>
      <c r="BO369" s="647"/>
      <c r="BP369" s="647"/>
      <c r="BQ369" s="647"/>
      <c r="BR369" s="647"/>
      <c r="BS369" s="647"/>
      <c r="BT369" s="647"/>
      <c r="BU369" s="647"/>
      <c r="BV369" s="647"/>
      <c r="BW369" s="647"/>
      <c r="BX369" s="647"/>
      <c r="BY369" s="647"/>
      <c r="BZ369" s="647"/>
      <c r="CA369" s="647"/>
      <c r="CB369" s="647"/>
      <c r="CC369" s="647"/>
      <c r="CD369" s="647"/>
      <c r="CE369" s="647"/>
      <c r="CF369" s="647"/>
      <c r="CG369" s="647"/>
      <c r="CH369" s="647"/>
      <c r="CI369" s="647"/>
      <c r="CJ369" s="647"/>
      <c r="CK369" s="647"/>
      <c r="CL369" s="647"/>
      <c r="CM369" s="647"/>
      <c r="CN369" s="647"/>
    </row>
    <row r="370" spans="1:92" ht="24">
      <c r="A370" s="647"/>
      <c r="B370" s="663" t="s">
        <v>1071</v>
      </c>
      <c r="C370" s="663" t="s">
        <v>1199</v>
      </c>
      <c r="D370" s="664">
        <v>0</v>
      </c>
      <c r="E370" s="665">
        <v>0</v>
      </c>
      <c r="F370" s="647"/>
      <c r="G370" s="647"/>
      <c r="H370" s="647"/>
      <c r="I370" s="647"/>
      <c r="J370" s="647"/>
      <c r="K370" s="647"/>
      <c r="L370" s="647"/>
      <c r="M370" s="647"/>
      <c r="N370" s="647"/>
      <c r="O370" s="647"/>
      <c r="P370" s="647"/>
      <c r="Q370" s="647"/>
      <c r="R370" s="647"/>
      <c r="S370" s="647"/>
      <c r="T370" s="647"/>
      <c r="U370" s="647"/>
      <c r="V370" s="647"/>
      <c r="W370" s="647"/>
      <c r="X370" s="647"/>
      <c r="Y370" s="647"/>
      <c r="Z370" s="647"/>
      <c r="AA370" s="647"/>
      <c r="AB370" s="647"/>
      <c r="AC370" s="647"/>
      <c r="AD370" s="647"/>
      <c r="AE370" s="647"/>
      <c r="AF370" s="647"/>
      <c r="AG370" s="647"/>
      <c r="AH370" s="647"/>
      <c r="AI370" s="647"/>
      <c r="AJ370" s="647"/>
      <c r="AK370" s="647"/>
      <c r="AL370" s="647"/>
      <c r="AM370" s="647"/>
      <c r="AN370" s="647"/>
      <c r="AO370" s="647"/>
      <c r="AP370" s="647"/>
      <c r="AQ370" s="647"/>
      <c r="AR370" s="647"/>
      <c r="AS370" s="647"/>
      <c r="AT370" s="647"/>
      <c r="AU370" s="647"/>
      <c r="AV370" s="647"/>
      <c r="AW370" s="647"/>
      <c r="AX370" s="647"/>
      <c r="AY370" s="647"/>
      <c r="AZ370" s="647"/>
      <c r="BA370" s="647"/>
      <c r="BB370" s="647"/>
      <c r="BC370" s="647"/>
      <c r="BD370" s="647"/>
      <c r="BE370" s="647"/>
      <c r="BF370" s="647"/>
      <c r="BG370" s="647"/>
      <c r="BH370" s="647"/>
      <c r="BI370" s="647"/>
      <c r="BJ370" s="647"/>
      <c r="BK370" s="647"/>
      <c r="BL370" s="647"/>
      <c r="BM370" s="647"/>
      <c r="BN370" s="647"/>
      <c r="BO370" s="647"/>
      <c r="BP370" s="647"/>
      <c r="BQ370" s="647"/>
      <c r="BR370" s="647"/>
      <c r="BS370" s="647"/>
      <c r="BT370" s="647"/>
      <c r="BU370" s="647"/>
      <c r="BV370" s="647"/>
      <c r="BW370" s="647"/>
      <c r="BX370" s="647"/>
      <c r="BY370" s="647"/>
      <c r="BZ370" s="647"/>
      <c r="CA370" s="647"/>
      <c r="CB370" s="647"/>
      <c r="CC370" s="647"/>
      <c r="CD370" s="647"/>
      <c r="CE370" s="647"/>
      <c r="CF370" s="647"/>
      <c r="CG370" s="647"/>
      <c r="CH370" s="647"/>
      <c r="CI370" s="647"/>
      <c r="CJ370" s="647"/>
      <c r="CK370" s="647"/>
      <c r="CL370" s="647"/>
      <c r="CM370" s="647"/>
      <c r="CN370" s="647"/>
    </row>
    <row r="371" spans="1:92" ht="24">
      <c r="A371" s="647"/>
      <c r="B371" s="663" t="s">
        <v>1076</v>
      </c>
      <c r="C371" s="663" t="s">
        <v>1200</v>
      </c>
      <c r="D371" s="664">
        <v>0</v>
      </c>
      <c r="E371" s="665">
        <v>0</v>
      </c>
      <c r="F371" s="647"/>
      <c r="G371" s="647"/>
      <c r="H371" s="647"/>
      <c r="I371" s="647"/>
      <c r="J371" s="647"/>
      <c r="K371" s="647"/>
      <c r="L371" s="647"/>
      <c r="M371" s="647"/>
      <c r="N371" s="647"/>
      <c r="O371" s="647"/>
      <c r="P371" s="647"/>
      <c r="Q371" s="647"/>
      <c r="R371" s="647"/>
      <c r="S371" s="647"/>
      <c r="T371" s="647"/>
      <c r="U371" s="647"/>
      <c r="V371" s="647"/>
      <c r="W371" s="647"/>
      <c r="X371" s="647"/>
      <c r="Y371" s="647"/>
      <c r="Z371" s="647"/>
      <c r="AA371" s="647"/>
      <c r="AB371" s="647"/>
      <c r="AC371" s="647"/>
      <c r="AD371" s="647"/>
      <c r="AE371" s="647"/>
      <c r="AF371" s="647"/>
      <c r="AG371" s="647"/>
      <c r="AH371" s="647"/>
      <c r="AI371" s="647"/>
      <c r="AJ371" s="647"/>
      <c r="AK371" s="647"/>
      <c r="AL371" s="647"/>
      <c r="AM371" s="647"/>
      <c r="AN371" s="647"/>
      <c r="AO371" s="647"/>
      <c r="AP371" s="647"/>
      <c r="AQ371" s="647"/>
      <c r="AR371" s="647"/>
      <c r="AS371" s="647"/>
      <c r="AT371" s="647"/>
      <c r="AU371" s="647"/>
      <c r="AV371" s="647"/>
      <c r="AW371" s="647"/>
      <c r="AX371" s="647"/>
      <c r="AY371" s="647"/>
      <c r="AZ371" s="647"/>
      <c r="BA371" s="647"/>
      <c r="BB371" s="647"/>
      <c r="BC371" s="647"/>
      <c r="BD371" s="647"/>
      <c r="BE371" s="647"/>
      <c r="BF371" s="647"/>
      <c r="BG371" s="647"/>
      <c r="BH371" s="647"/>
      <c r="BI371" s="647"/>
      <c r="BJ371" s="647"/>
      <c r="BK371" s="647"/>
      <c r="BL371" s="647"/>
      <c r="BM371" s="647"/>
      <c r="BN371" s="647"/>
      <c r="BO371" s="647"/>
      <c r="BP371" s="647"/>
      <c r="BQ371" s="647"/>
      <c r="BR371" s="647"/>
      <c r="BS371" s="647"/>
      <c r="BT371" s="647"/>
      <c r="BU371" s="647"/>
      <c r="BV371" s="647"/>
      <c r="BW371" s="647"/>
      <c r="BX371" s="647"/>
      <c r="BY371" s="647"/>
      <c r="BZ371" s="647"/>
      <c r="CA371" s="647"/>
      <c r="CB371" s="647"/>
      <c r="CC371" s="647"/>
      <c r="CD371" s="647"/>
      <c r="CE371" s="647"/>
      <c r="CF371" s="647"/>
      <c r="CG371" s="647"/>
      <c r="CH371" s="647"/>
      <c r="CI371" s="647"/>
      <c r="CJ371" s="647"/>
      <c r="CK371" s="647"/>
      <c r="CL371" s="647"/>
      <c r="CM371" s="647"/>
      <c r="CN371" s="647"/>
    </row>
    <row r="372" spans="1:92" ht="24">
      <c r="A372" s="647"/>
      <c r="B372" s="663" t="s">
        <v>1078</v>
      </c>
      <c r="C372" s="663" t="s">
        <v>1201</v>
      </c>
      <c r="D372" s="664">
        <v>0</v>
      </c>
      <c r="E372" s="665">
        <v>0</v>
      </c>
      <c r="F372" s="647"/>
      <c r="G372" s="647"/>
      <c r="H372" s="647"/>
      <c r="I372" s="647"/>
      <c r="J372" s="647"/>
      <c r="K372" s="647"/>
      <c r="L372" s="647"/>
      <c r="M372" s="647"/>
      <c r="N372" s="647"/>
      <c r="O372" s="647"/>
      <c r="P372" s="647"/>
      <c r="Q372" s="647"/>
      <c r="R372" s="647"/>
      <c r="S372" s="647"/>
      <c r="T372" s="647"/>
      <c r="U372" s="647"/>
      <c r="V372" s="647"/>
      <c r="W372" s="647"/>
      <c r="X372" s="647"/>
      <c r="Y372" s="647"/>
      <c r="Z372" s="647"/>
      <c r="AA372" s="647"/>
      <c r="AB372" s="647"/>
      <c r="AC372" s="647"/>
      <c r="AD372" s="647"/>
      <c r="AE372" s="647"/>
      <c r="AF372" s="647"/>
      <c r="AG372" s="647"/>
      <c r="AH372" s="647"/>
      <c r="AI372" s="647"/>
      <c r="AJ372" s="647"/>
      <c r="AK372" s="647"/>
      <c r="AL372" s="647"/>
      <c r="AM372" s="647"/>
      <c r="AN372" s="647"/>
      <c r="AO372" s="647"/>
      <c r="AP372" s="647"/>
      <c r="AQ372" s="647"/>
      <c r="AR372" s="647"/>
      <c r="AS372" s="647"/>
      <c r="AT372" s="647"/>
      <c r="AU372" s="647"/>
      <c r="AV372" s="647"/>
      <c r="AW372" s="647"/>
      <c r="AX372" s="647"/>
      <c r="AY372" s="647"/>
      <c r="AZ372" s="647"/>
      <c r="BA372" s="647"/>
      <c r="BB372" s="647"/>
      <c r="BC372" s="647"/>
      <c r="BD372" s="647"/>
      <c r="BE372" s="647"/>
      <c r="BF372" s="647"/>
      <c r="BG372" s="647"/>
      <c r="BH372" s="647"/>
      <c r="BI372" s="647"/>
      <c r="BJ372" s="647"/>
      <c r="BK372" s="647"/>
      <c r="BL372" s="647"/>
      <c r="BM372" s="647"/>
      <c r="BN372" s="647"/>
      <c r="BO372" s="647"/>
      <c r="BP372" s="647"/>
      <c r="BQ372" s="647"/>
      <c r="BR372" s="647"/>
      <c r="BS372" s="647"/>
      <c r="BT372" s="647"/>
      <c r="BU372" s="647"/>
      <c r="BV372" s="647"/>
      <c r="BW372" s="647"/>
      <c r="BX372" s="647"/>
      <c r="BY372" s="647"/>
      <c r="BZ372" s="647"/>
      <c r="CA372" s="647"/>
      <c r="CB372" s="647"/>
      <c r="CC372" s="647"/>
      <c r="CD372" s="647"/>
      <c r="CE372" s="647"/>
      <c r="CF372" s="647"/>
      <c r="CG372" s="647"/>
      <c r="CH372" s="647"/>
      <c r="CI372" s="647"/>
      <c r="CJ372" s="647"/>
      <c r="CK372" s="647"/>
      <c r="CL372" s="647"/>
      <c r="CM372" s="647"/>
      <c r="CN372" s="647"/>
    </row>
    <row r="373" spans="1:92">
      <c r="A373" s="647"/>
      <c r="B373" s="663" t="s">
        <v>1080</v>
      </c>
      <c r="C373" s="666" t="s">
        <v>95</v>
      </c>
      <c r="D373" s="664">
        <v>0</v>
      </c>
      <c r="E373" s="665">
        <v>0</v>
      </c>
      <c r="F373" s="647"/>
      <c r="G373" s="647"/>
      <c r="H373" s="647"/>
      <c r="I373" s="647"/>
      <c r="J373" s="647"/>
      <c r="K373" s="647"/>
      <c r="L373" s="647"/>
      <c r="M373" s="647"/>
      <c r="N373" s="647"/>
      <c r="O373" s="647"/>
      <c r="P373" s="647"/>
      <c r="Q373" s="647"/>
      <c r="R373" s="647"/>
      <c r="S373" s="647"/>
      <c r="T373" s="647"/>
      <c r="U373" s="647"/>
      <c r="V373" s="647"/>
      <c r="W373" s="647"/>
      <c r="X373" s="647"/>
      <c r="Y373" s="647"/>
      <c r="Z373" s="647"/>
      <c r="AA373" s="647"/>
      <c r="AB373" s="647"/>
      <c r="AC373" s="647"/>
      <c r="AD373" s="647"/>
      <c r="AE373" s="647"/>
      <c r="AF373" s="647"/>
      <c r="AG373" s="647"/>
      <c r="AH373" s="647"/>
      <c r="AI373" s="647"/>
      <c r="AJ373" s="647"/>
      <c r="AK373" s="647"/>
      <c r="AL373" s="647"/>
      <c r="AM373" s="647"/>
      <c r="AN373" s="647"/>
      <c r="AO373" s="647"/>
      <c r="AP373" s="647"/>
      <c r="AQ373" s="647"/>
      <c r="AR373" s="647"/>
      <c r="AS373" s="647"/>
      <c r="AT373" s="647"/>
      <c r="AU373" s="647"/>
      <c r="AV373" s="647"/>
      <c r="AW373" s="647"/>
      <c r="AX373" s="647"/>
      <c r="AY373" s="647"/>
      <c r="AZ373" s="647"/>
      <c r="BA373" s="647"/>
      <c r="BB373" s="647"/>
      <c r="BC373" s="647"/>
      <c r="BD373" s="647"/>
      <c r="BE373" s="647"/>
      <c r="BF373" s="647"/>
      <c r="BG373" s="647"/>
      <c r="BH373" s="647"/>
      <c r="BI373" s="647"/>
      <c r="BJ373" s="647"/>
      <c r="BK373" s="647"/>
      <c r="BL373" s="647"/>
      <c r="BM373" s="647"/>
      <c r="BN373" s="647"/>
      <c r="BO373" s="647"/>
      <c r="BP373" s="647"/>
      <c r="BQ373" s="647"/>
      <c r="BR373" s="647"/>
      <c r="BS373" s="647"/>
      <c r="BT373" s="647"/>
      <c r="BU373" s="647"/>
      <c r="BV373" s="647"/>
      <c r="BW373" s="647"/>
      <c r="BX373" s="647"/>
      <c r="BY373" s="647"/>
      <c r="BZ373" s="647"/>
      <c r="CA373" s="647"/>
      <c r="CB373" s="647"/>
      <c r="CC373" s="647"/>
      <c r="CD373" s="647"/>
      <c r="CE373" s="647"/>
      <c r="CF373" s="647"/>
      <c r="CG373" s="647"/>
      <c r="CH373" s="647"/>
      <c r="CI373" s="647"/>
      <c r="CJ373" s="647"/>
      <c r="CK373" s="647"/>
      <c r="CL373" s="647"/>
      <c r="CM373" s="647"/>
      <c r="CN373" s="647"/>
    </row>
    <row r="374" spans="1:92" hidden="1">
      <c r="A374" s="647"/>
      <c r="B374" s="646" t="s">
        <v>1032</v>
      </c>
      <c r="C374" s="647"/>
      <c r="D374" s="647"/>
      <c r="F374" s="647"/>
      <c r="G374" s="647"/>
      <c r="H374" s="647"/>
      <c r="I374" s="647"/>
      <c r="J374" s="647"/>
      <c r="K374" s="647"/>
      <c r="L374" s="647"/>
      <c r="M374" s="647"/>
      <c r="N374" s="647"/>
      <c r="O374" s="647"/>
      <c r="P374" s="647"/>
      <c r="Q374" s="647"/>
      <c r="R374" s="647"/>
      <c r="S374" s="647"/>
      <c r="T374" s="647"/>
      <c r="U374" s="647"/>
      <c r="V374" s="647"/>
      <c r="W374" s="647"/>
      <c r="X374" s="647"/>
      <c r="Y374" s="647"/>
      <c r="Z374" s="647"/>
      <c r="AA374" s="647"/>
      <c r="AB374" s="647"/>
      <c r="AC374" s="647"/>
      <c r="AD374" s="647"/>
      <c r="AE374" s="647"/>
      <c r="AF374" s="647"/>
      <c r="AG374" s="647"/>
      <c r="AH374" s="647"/>
      <c r="AI374" s="647"/>
      <c r="AJ374" s="647"/>
      <c r="AK374" s="647"/>
      <c r="AL374" s="647"/>
      <c r="AM374" s="647"/>
      <c r="AN374" s="647"/>
      <c r="AO374" s="647"/>
      <c r="AP374" s="647"/>
      <c r="AQ374" s="647"/>
      <c r="AR374" s="647"/>
      <c r="AS374" s="647"/>
      <c r="AT374" s="647"/>
      <c r="AU374" s="647"/>
      <c r="AV374" s="647"/>
      <c r="AW374" s="647"/>
      <c r="AX374" s="647"/>
      <c r="AY374" s="647"/>
      <c r="AZ374" s="647"/>
      <c r="BA374" s="647"/>
      <c r="BB374" s="647"/>
      <c r="BC374" s="647"/>
      <c r="BD374" s="647"/>
      <c r="BE374" s="647"/>
      <c r="BF374" s="647"/>
      <c r="BG374" s="647"/>
      <c r="BH374" s="647"/>
      <c r="BI374" s="647"/>
      <c r="BJ374" s="647"/>
      <c r="BK374" s="647"/>
      <c r="BL374" s="647"/>
      <c r="BM374" s="647"/>
      <c r="BN374" s="647"/>
      <c r="BO374" s="647"/>
      <c r="BP374" s="647"/>
      <c r="BQ374" s="647"/>
      <c r="BR374" s="647"/>
      <c r="BS374" s="647"/>
      <c r="BT374" s="647"/>
      <c r="BU374" s="647"/>
      <c r="BV374" s="647"/>
      <c r="BW374" s="647"/>
      <c r="BX374" s="647"/>
      <c r="BY374" s="647"/>
      <c r="BZ374" s="647"/>
      <c r="CA374" s="647"/>
      <c r="CB374" s="647"/>
      <c r="CC374" s="647"/>
      <c r="CD374" s="647"/>
      <c r="CE374" s="647"/>
      <c r="CF374" s="647"/>
      <c r="CG374" s="647"/>
      <c r="CH374" s="647"/>
      <c r="CI374" s="647"/>
      <c r="CJ374" s="647"/>
      <c r="CK374" s="647"/>
      <c r="CL374" s="647"/>
      <c r="CM374" s="647"/>
      <c r="CN374" s="647"/>
    </row>
    <row r="375" spans="1:92" hidden="1">
      <c r="A375" s="647"/>
      <c r="B375" s="660" t="s">
        <v>1007</v>
      </c>
      <c r="C375" s="647"/>
      <c r="D375" s="647"/>
      <c r="F375" s="647"/>
      <c r="G375" s="647"/>
      <c r="H375" s="647"/>
      <c r="I375" s="647"/>
      <c r="J375" s="647"/>
      <c r="K375" s="647"/>
      <c r="L375" s="647"/>
      <c r="M375" s="647"/>
      <c r="N375" s="647"/>
      <c r="O375" s="647"/>
      <c r="P375" s="647"/>
      <c r="Q375" s="647"/>
      <c r="R375" s="647"/>
      <c r="S375" s="647"/>
      <c r="T375" s="647"/>
      <c r="U375" s="647"/>
      <c r="V375" s="647"/>
      <c r="W375" s="647"/>
      <c r="X375" s="647"/>
      <c r="Y375" s="647"/>
      <c r="Z375" s="647"/>
      <c r="AA375" s="647"/>
      <c r="AB375" s="647"/>
      <c r="AC375" s="647"/>
      <c r="AD375" s="647"/>
      <c r="AE375" s="647"/>
      <c r="AF375" s="647"/>
      <c r="AG375" s="647"/>
      <c r="AH375" s="647"/>
      <c r="AI375" s="647"/>
      <c r="AJ375" s="647"/>
      <c r="AK375" s="647"/>
      <c r="AL375" s="647"/>
      <c r="AM375" s="647"/>
      <c r="AN375" s="647"/>
      <c r="AO375" s="647"/>
      <c r="AP375" s="647"/>
      <c r="AQ375" s="647"/>
      <c r="AR375" s="647"/>
      <c r="AS375" s="647"/>
      <c r="AT375" s="647"/>
      <c r="AU375" s="647"/>
      <c r="AV375" s="647"/>
      <c r="AW375" s="647"/>
      <c r="AX375" s="647"/>
      <c r="AY375" s="647"/>
      <c r="AZ375" s="647"/>
      <c r="BA375" s="647"/>
      <c r="BB375" s="647"/>
      <c r="BC375" s="647"/>
      <c r="BD375" s="647"/>
      <c r="BE375" s="647"/>
      <c r="BF375" s="647"/>
      <c r="BG375" s="647"/>
      <c r="BH375" s="647"/>
      <c r="BI375" s="647"/>
      <c r="BJ375" s="647"/>
      <c r="BK375" s="647"/>
      <c r="BL375" s="647"/>
      <c r="BM375" s="647"/>
      <c r="BN375" s="647"/>
      <c r="BO375" s="647"/>
      <c r="BP375" s="647"/>
      <c r="BQ375" s="647"/>
      <c r="BR375" s="647"/>
      <c r="BS375" s="647"/>
      <c r="BT375" s="647"/>
      <c r="BU375" s="647"/>
      <c r="BV375" s="647"/>
      <c r="BW375" s="647"/>
      <c r="BX375" s="647"/>
      <c r="BY375" s="647"/>
      <c r="BZ375" s="647"/>
      <c r="CA375" s="647"/>
      <c r="CB375" s="647"/>
      <c r="CC375" s="647"/>
      <c r="CD375" s="647"/>
      <c r="CE375" s="647"/>
      <c r="CF375" s="647"/>
      <c r="CG375" s="647"/>
      <c r="CH375" s="647"/>
      <c r="CI375" s="647"/>
      <c r="CJ375" s="647"/>
      <c r="CK375" s="647"/>
      <c r="CL375" s="647"/>
      <c r="CM375" s="647"/>
      <c r="CN375" s="647"/>
    </row>
    <row r="376" spans="1:92" hidden="1">
      <c r="A376" s="646" t="s">
        <v>1001</v>
      </c>
      <c r="B376" s="647"/>
      <c r="C376" s="647"/>
      <c r="D376" s="647"/>
      <c r="F376" s="647"/>
      <c r="G376" s="647"/>
      <c r="H376" s="647"/>
      <c r="I376" s="647"/>
      <c r="J376" s="647"/>
      <c r="K376" s="647"/>
      <c r="L376" s="647"/>
      <c r="M376" s="647"/>
      <c r="N376" s="647"/>
      <c r="O376" s="647"/>
      <c r="P376" s="647"/>
      <c r="Q376" s="647"/>
      <c r="R376" s="647"/>
      <c r="S376" s="647"/>
      <c r="T376" s="647"/>
      <c r="U376" s="647"/>
      <c r="V376" s="647"/>
      <c r="W376" s="647"/>
      <c r="X376" s="647"/>
      <c r="Y376" s="647"/>
      <c r="Z376" s="647"/>
      <c r="AA376" s="647"/>
      <c r="AB376" s="647"/>
      <c r="AC376" s="647"/>
      <c r="AD376" s="647"/>
      <c r="AE376" s="647"/>
      <c r="AF376" s="647"/>
      <c r="AG376" s="647"/>
      <c r="AH376" s="647"/>
      <c r="AI376" s="647"/>
      <c r="AJ376" s="647"/>
      <c r="AK376" s="647"/>
      <c r="AL376" s="647"/>
      <c r="AM376" s="647"/>
      <c r="AN376" s="647"/>
      <c r="AO376" s="647"/>
      <c r="AP376" s="647"/>
      <c r="AQ376" s="647"/>
      <c r="AR376" s="647"/>
      <c r="AS376" s="647"/>
      <c r="AT376" s="647"/>
      <c r="AU376" s="647"/>
      <c r="AV376" s="647"/>
      <c r="AW376" s="647"/>
      <c r="AX376" s="647"/>
      <c r="AY376" s="647"/>
      <c r="AZ376" s="647"/>
      <c r="BA376" s="647"/>
      <c r="BB376" s="647"/>
      <c r="BC376" s="647"/>
      <c r="BD376" s="647"/>
      <c r="BE376" s="647"/>
      <c r="BF376" s="647"/>
      <c r="BG376" s="647"/>
      <c r="BH376" s="647"/>
      <c r="BI376" s="647"/>
      <c r="BJ376" s="647"/>
      <c r="BK376" s="647"/>
      <c r="BL376" s="647"/>
      <c r="BM376" s="647"/>
      <c r="BN376" s="647"/>
      <c r="BO376" s="647"/>
      <c r="BP376" s="647"/>
      <c r="BQ376" s="647"/>
      <c r="BR376" s="647"/>
      <c r="BS376" s="647"/>
      <c r="BT376" s="647"/>
      <c r="BU376" s="647"/>
      <c r="BV376" s="647"/>
      <c r="BW376" s="647"/>
      <c r="BX376" s="647"/>
      <c r="BY376" s="647"/>
      <c r="BZ376" s="647"/>
      <c r="CA376" s="647"/>
      <c r="CB376" s="647"/>
      <c r="CC376" s="647"/>
      <c r="CD376" s="647"/>
      <c r="CE376" s="647"/>
      <c r="CF376" s="647"/>
      <c r="CG376" s="647"/>
      <c r="CH376" s="647"/>
      <c r="CI376" s="647"/>
      <c r="CJ376" s="647"/>
      <c r="CK376" s="647"/>
      <c r="CL376" s="647"/>
      <c r="CM376" s="647"/>
      <c r="CN376" s="647"/>
    </row>
    <row r="377" spans="1:92" hidden="1">
      <c r="A377" s="647"/>
      <c r="B377" s="646" t="s">
        <v>1202</v>
      </c>
      <c r="C377" s="647"/>
      <c r="D377" s="647"/>
      <c r="F377" s="647"/>
      <c r="G377" s="647"/>
      <c r="H377" s="647"/>
      <c r="I377" s="647"/>
      <c r="J377" s="647"/>
      <c r="K377" s="647"/>
      <c r="L377" s="647"/>
      <c r="M377" s="647"/>
      <c r="N377" s="647"/>
      <c r="O377" s="647"/>
      <c r="P377" s="647"/>
      <c r="Q377" s="647"/>
      <c r="R377" s="647"/>
      <c r="S377" s="647"/>
      <c r="T377" s="647"/>
      <c r="U377" s="647"/>
      <c r="V377" s="647"/>
      <c r="W377" s="647"/>
      <c r="X377" s="647"/>
      <c r="Y377" s="647"/>
      <c r="Z377" s="647"/>
      <c r="AA377" s="647"/>
      <c r="AB377" s="647"/>
      <c r="AC377" s="647"/>
      <c r="AD377" s="647"/>
      <c r="AE377" s="647"/>
      <c r="AF377" s="647"/>
      <c r="AG377" s="647"/>
      <c r="AH377" s="647"/>
      <c r="AI377" s="647"/>
      <c r="AJ377" s="647"/>
      <c r="AK377" s="647"/>
      <c r="AL377" s="647"/>
      <c r="AM377" s="647"/>
      <c r="AN377" s="647"/>
      <c r="AO377" s="647"/>
      <c r="AP377" s="647"/>
      <c r="AQ377" s="647"/>
      <c r="AR377" s="647"/>
      <c r="AS377" s="647"/>
      <c r="AT377" s="647"/>
      <c r="AU377" s="647"/>
      <c r="AV377" s="647"/>
      <c r="AW377" s="647"/>
      <c r="AX377" s="647"/>
      <c r="AY377" s="647"/>
      <c r="AZ377" s="647"/>
      <c r="BA377" s="647"/>
      <c r="BB377" s="647"/>
      <c r="BC377" s="647"/>
      <c r="BD377" s="647"/>
      <c r="BE377" s="647"/>
      <c r="BF377" s="647"/>
      <c r="BG377" s="647"/>
      <c r="BH377" s="647"/>
      <c r="BI377" s="647"/>
      <c r="BJ377" s="647"/>
      <c r="BK377" s="647"/>
      <c r="BL377" s="647"/>
      <c r="BM377" s="647"/>
      <c r="BN377" s="647"/>
      <c r="BO377" s="647"/>
      <c r="BP377" s="647"/>
      <c r="BQ377" s="647"/>
      <c r="BR377" s="647"/>
      <c r="BS377" s="647"/>
      <c r="BT377" s="647"/>
      <c r="BU377" s="647"/>
      <c r="BV377" s="647"/>
      <c r="BW377" s="647"/>
      <c r="BX377" s="647"/>
      <c r="BY377" s="647"/>
      <c r="BZ377" s="647"/>
      <c r="CA377" s="647"/>
      <c r="CB377" s="647"/>
      <c r="CC377" s="647"/>
      <c r="CD377" s="647"/>
      <c r="CE377" s="647"/>
      <c r="CF377" s="647"/>
      <c r="CG377" s="647"/>
      <c r="CH377" s="647"/>
      <c r="CI377" s="647"/>
      <c r="CJ377" s="647"/>
      <c r="CK377" s="647"/>
      <c r="CL377" s="647"/>
      <c r="CM377" s="647"/>
      <c r="CN377" s="647"/>
    </row>
    <row r="378" spans="1:92" hidden="1">
      <c r="A378" s="647"/>
      <c r="B378" s="647"/>
      <c r="C378" s="647"/>
      <c r="D378" s="647"/>
      <c r="F378" s="660"/>
      <c r="G378" s="647"/>
      <c r="H378" s="647"/>
      <c r="I378" s="647"/>
      <c r="J378" s="647"/>
      <c r="K378" s="647"/>
      <c r="L378" s="647"/>
      <c r="M378" s="647"/>
      <c r="N378" s="647"/>
      <c r="O378" s="647"/>
      <c r="P378" s="647"/>
      <c r="Q378" s="647"/>
      <c r="R378" s="647"/>
      <c r="S378" s="647"/>
      <c r="T378" s="647"/>
      <c r="U378" s="647"/>
      <c r="V378" s="647"/>
      <c r="W378" s="647"/>
      <c r="X378" s="647"/>
      <c r="Y378" s="647"/>
      <c r="Z378" s="647"/>
      <c r="AA378" s="647"/>
      <c r="AB378" s="647"/>
      <c r="AC378" s="647"/>
      <c r="AD378" s="647"/>
      <c r="AE378" s="647"/>
      <c r="AF378" s="647"/>
      <c r="AG378" s="647"/>
      <c r="AH378" s="647"/>
      <c r="AI378" s="647"/>
      <c r="AJ378" s="647"/>
      <c r="AK378" s="647"/>
      <c r="AL378" s="647"/>
      <c r="AM378" s="647"/>
      <c r="AN378" s="647"/>
      <c r="AO378" s="647"/>
      <c r="AP378" s="647"/>
      <c r="AQ378" s="647"/>
      <c r="AR378" s="647"/>
      <c r="AS378" s="647"/>
      <c r="AT378" s="647"/>
      <c r="AU378" s="647"/>
      <c r="AV378" s="647"/>
      <c r="AW378" s="647"/>
      <c r="AX378" s="647"/>
      <c r="AY378" s="647"/>
      <c r="AZ378" s="647"/>
      <c r="BA378" s="647"/>
      <c r="BB378" s="647"/>
      <c r="BC378" s="647"/>
      <c r="BD378" s="647"/>
      <c r="BE378" s="647"/>
      <c r="BF378" s="647"/>
      <c r="BG378" s="647"/>
      <c r="BH378" s="647"/>
      <c r="BI378" s="647"/>
      <c r="BJ378" s="647"/>
      <c r="BK378" s="647"/>
      <c r="BL378" s="647"/>
      <c r="BM378" s="647"/>
      <c r="BN378" s="647"/>
      <c r="BO378" s="647"/>
      <c r="BP378" s="647"/>
      <c r="BQ378" s="647"/>
      <c r="BR378" s="647"/>
      <c r="BS378" s="647"/>
      <c r="BT378" s="647"/>
      <c r="BU378" s="647"/>
      <c r="BV378" s="647"/>
      <c r="BW378" s="647"/>
      <c r="BX378" s="647"/>
      <c r="BY378" s="647"/>
      <c r="BZ378" s="647"/>
      <c r="CA378" s="647"/>
      <c r="CB378" s="647"/>
      <c r="CC378" s="647"/>
      <c r="CD378" s="647"/>
      <c r="CE378" s="647"/>
      <c r="CF378" s="647"/>
      <c r="CG378" s="647"/>
      <c r="CH378" s="647"/>
      <c r="CI378" s="647"/>
      <c r="CJ378" s="647"/>
      <c r="CK378" s="647"/>
      <c r="CL378" s="647"/>
      <c r="CM378" s="647"/>
      <c r="CN378" s="647"/>
    </row>
    <row r="379" spans="1:92" ht="36" hidden="1">
      <c r="A379" s="647"/>
      <c r="B379" s="661" t="s">
        <v>99</v>
      </c>
      <c r="C379" s="661" t="s">
        <v>65</v>
      </c>
      <c r="D379" s="661" t="s">
        <v>1203</v>
      </c>
      <c r="E379" s="662" t="s">
        <v>3</v>
      </c>
      <c r="F379" s="661" t="s">
        <v>1193</v>
      </c>
      <c r="G379" s="647"/>
      <c r="H379" s="647"/>
      <c r="I379" s="647"/>
      <c r="J379" s="647"/>
      <c r="K379" s="647"/>
      <c r="L379" s="647"/>
      <c r="M379" s="647"/>
      <c r="N379" s="647"/>
      <c r="O379" s="647"/>
      <c r="P379" s="647"/>
      <c r="Q379" s="647"/>
      <c r="R379" s="647"/>
      <c r="S379" s="647"/>
      <c r="T379" s="647"/>
      <c r="U379" s="647"/>
      <c r="V379" s="647"/>
      <c r="W379" s="647"/>
      <c r="X379" s="647"/>
      <c r="Y379" s="647"/>
      <c r="Z379" s="647"/>
      <c r="AA379" s="647"/>
      <c r="AB379" s="647"/>
      <c r="AC379" s="647"/>
      <c r="AD379" s="647"/>
      <c r="AE379" s="647"/>
      <c r="AF379" s="647"/>
      <c r="AG379" s="647"/>
      <c r="AH379" s="647"/>
      <c r="AI379" s="647"/>
      <c r="AJ379" s="647"/>
      <c r="AK379" s="647"/>
      <c r="AL379" s="647"/>
      <c r="AM379" s="647"/>
      <c r="AN379" s="647"/>
      <c r="AO379" s="647"/>
      <c r="AP379" s="647"/>
      <c r="AQ379" s="647"/>
      <c r="AR379" s="647"/>
      <c r="AS379" s="647"/>
      <c r="AT379" s="647"/>
      <c r="AU379" s="647"/>
      <c r="AV379" s="647"/>
      <c r="AW379" s="647"/>
      <c r="AX379" s="647"/>
      <c r="AY379" s="647"/>
      <c r="AZ379" s="647"/>
      <c r="BA379" s="647"/>
      <c r="BB379" s="647"/>
      <c r="BC379" s="647"/>
      <c r="BD379" s="647"/>
      <c r="BE379" s="647"/>
      <c r="BF379" s="647"/>
      <c r="BG379" s="647"/>
      <c r="BH379" s="647"/>
      <c r="BI379" s="647"/>
      <c r="BJ379" s="647"/>
      <c r="BK379" s="647"/>
      <c r="BL379" s="647"/>
      <c r="BM379" s="647"/>
      <c r="BN379" s="647"/>
      <c r="BO379" s="647"/>
      <c r="BP379" s="647"/>
      <c r="BQ379" s="647"/>
      <c r="BR379" s="647"/>
      <c r="BS379" s="647"/>
      <c r="BT379" s="647"/>
      <c r="BU379" s="647"/>
      <c r="BV379" s="647"/>
      <c r="BW379" s="647"/>
      <c r="BX379" s="647"/>
      <c r="BY379" s="647"/>
      <c r="BZ379" s="647"/>
      <c r="CA379" s="647"/>
      <c r="CB379" s="647"/>
      <c r="CC379" s="647"/>
      <c r="CD379" s="647"/>
      <c r="CE379" s="647"/>
      <c r="CF379" s="647"/>
      <c r="CG379" s="647"/>
      <c r="CH379" s="647"/>
      <c r="CI379" s="647"/>
      <c r="CJ379" s="647"/>
      <c r="CK379" s="647"/>
      <c r="CL379" s="647"/>
      <c r="CM379" s="647"/>
      <c r="CN379" s="647"/>
    </row>
    <row r="380" spans="1:92" hidden="1">
      <c r="A380" s="647"/>
      <c r="B380" s="663" t="s">
        <v>1003</v>
      </c>
      <c r="C380" s="663" t="s">
        <v>1007</v>
      </c>
      <c r="D380" s="664" t="s">
        <v>1007</v>
      </c>
      <c r="E380" s="665" t="s">
        <v>1007</v>
      </c>
      <c r="F380" s="664" t="s">
        <v>1007</v>
      </c>
      <c r="G380" s="647"/>
      <c r="H380" s="647"/>
      <c r="I380" s="647"/>
      <c r="J380" s="647"/>
      <c r="K380" s="647"/>
      <c r="L380" s="647"/>
      <c r="M380" s="647"/>
      <c r="N380" s="647"/>
      <c r="O380" s="647"/>
      <c r="P380" s="647"/>
      <c r="Q380" s="647"/>
      <c r="R380" s="647"/>
      <c r="S380" s="647"/>
      <c r="T380" s="647"/>
      <c r="U380" s="647"/>
      <c r="V380" s="647"/>
      <c r="W380" s="647"/>
      <c r="X380" s="647"/>
      <c r="Y380" s="647"/>
      <c r="Z380" s="647"/>
      <c r="AA380" s="647"/>
      <c r="AB380" s="647"/>
      <c r="AC380" s="647"/>
      <c r="AD380" s="647"/>
      <c r="AE380" s="647"/>
      <c r="AF380" s="647"/>
      <c r="AG380" s="647"/>
      <c r="AH380" s="647"/>
      <c r="AI380" s="647"/>
      <c r="AJ380" s="647"/>
      <c r="AK380" s="647"/>
      <c r="AL380" s="647"/>
      <c r="AM380" s="647"/>
      <c r="AN380" s="647"/>
      <c r="AO380" s="647"/>
      <c r="AP380" s="647"/>
      <c r="AQ380" s="647"/>
      <c r="AR380" s="647"/>
      <c r="AS380" s="647"/>
      <c r="AT380" s="647"/>
      <c r="AU380" s="647"/>
      <c r="AV380" s="647"/>
      <c r="AW380" s="647"/>
      <c r="AX380" s="647"/>
      <c r="AY380" s="647"/>
      <c r="AZ380" s="647"/>
      <c r="BA380" s="647"/>
      <c r="BB380" s="647"/>
      <c r="BC380" s="647"/>
      <c r="BD380" s="647"/>
      <c r="BE380" s="647"/>
      <c r="BF380" s="647"/>
      <c r="BG380" s="647"/>
      <c r="BH380" s="647"/>
      <c r="BI380" s="647"/>
      <c r="BJ380" s="647"/>
      <c r="BK380" s="647"/>
      <c r="BL380" s="647"/>
      <c r="BM380" s="647"/>
      <c r="BN380" s="647"/>
      <c r="BO380" s="647"/>
      <c r="BP380" s="647"/>
      <c r="BQ380" s="647"/>
      <c r="BR380" s="647"/>
      <c r="BS380" s="647"/>
      <c r="BT380" s="647"/>
      <c r="BU380" s="647"/>
      <c r="BV380" s="647"/>
      <c r="BW380" s="647"/>
      <c r="BX380" s="647"/>
      <c r="BY380" s="647"/>
      <c r="BZ380" s="647"/>
      <c r="CA380" s="647"/>
      <c r="CB380" s="647"/>
      <c r="CC380" s="647"/>
      <c r="CD380" s="647"/>
      <c r="CE380" s="647"/>
      <c r="CF380" s="647"/>
      <c r="CG380" s="647"/>
      <c r="CH380" s="647"/>
      <c r="CI380" s="647"/>
      <c r="CJ380" s="647"/>
      <c r="CK380" s="647"/>
      <c r="CL380" s="647"/>
      <c r="CM380" s="647"/>
      <c r="CN380" s="647"/>
    </row>
    <row r="381" spans="1:92" hidden="1">
      <c r="A381" s="647" t="s">
        <v>1007</v>
      </c>
      <c r="B381" s="647" t="s">
        <v>1007</v>
      </c>
      <c r="C381" s="647" t="s">
        <v>1007</v>
      </c>
      <c r="D381" s="647" t="s">
        <v>1007</v>
      </c>
      <c r="F381" s="647"/>
      <c r="G381" s="647"/>
      <c r="H381" s="647"/>
      <c r="I381" s="647"/>
      <c r="J381" s="647"/>
      <c r="K381" s="647"/>
      <c r="L381" s="647"/>
      <c r="M381" s="647"/>
      <c r="N381" s="647"/>
      <c r="O381" s="647"/>
      <c r="P381" s="647"/>
      <c r="Q381" s="647"/>
      <c r="R381" s="647"/>
      <c r="S381" s="647"/>
      <c r="T381" s="647"/>
      <c r="U381" s="647"/>
      <c r="V381" s="647"/>
      <c r="W381" s="647"/>
      <c r="X381" s="647"/>
      <c r="Y381" s="647"/>
      <c r="Z381" s="647"/>
      <c r="AA381" s="647"/>
      <c r="AB381" s="647"/>
      <c r="AC381" s="647"/>
      <c r="AD381" s="647"/>
      <c r="AE381" s="647"/>
      <c r="AF381" s="647"/>
      <c r="AG381" s="647"/>
      <c r="AH381" s="647"/>
      <c r="AI381" s="647"/>
      <c r="AJ381" s="647"/>
      <c r="AK381" s="647"/>
      <c r="AL381" s="647"/>
      <c r="AM381" s="647"/>
      <c r="AN381" s="729"/>
      <c r="AO381" s="729"/>
      <c r="AP381" s="729"/>
      <c r="AQ381" s="729"/>
      <c r="AR381" s="729"/>
      <c r="AS381" s="729"/>
      <c r="AT381" s="729"/>
      <c r="AU381" s="729"/>
      <c r="AV381" s="729"/>
      <c r="AW381" s="729"/>
      <c r="AX381" s="729"/>
      <c r="AY381" s="729"/>
      <c r="AZ381" s="729"/>
      <c r="BA381" s="729"/>
      <c r="BB381" s="729"/>
      <c r="BC381" s="729"/>
      <c r="BD381" s="729"/>
      <c r="BE381" s="729"/>
      <c r="BF381" s="729"/>
      <c r="BG381" s="729"/>
      <c r="BH381" s="729"/>
      <c r="BI381" s="729"/>
      <c r="BJ381" s="729"/>
      <c r="BK381" s="729"/>
      <c r="BL381" s="729"/>
      <c r="BM381" s="729"/>
      <c r="BN381" s="729"/>
      <c r="BO381" s="729"/>
      <c r="BP381" s="729"/>
      <c r="BQ381" s="729"/>
      <c r="BR381" s="729"/>
      <c r="BS381" s="729"/>
      <c r="BT381" s="729"/>
      <c r="BU381" s="729"/>
      <c r="BV381" s="729"/>
      <c r="BW381" s="729"/>
      <c r="BX381" s="729"/>
      <c r="BY381" s="729"/>
      <c r="BZ381" s="729"/>
      <c r="CA381" s="729"/>
      <c r="CB381" s="729"/>
      <c r="CC381" s="729"/>
      <c r="CD381" s="729"/>
      <c r="CE381" s="729"/>
      <c r="CF381" s="729"/>
      <c r="CG381" s="729"/>
      <c r="CH381" s="729"/>
      <c r="CI381" s="729"/>
      <c r="CJ381" s="729"/>
      <c r="CK381" s="729"/>
      <c r="CL381" s="729"/>
      <c r="CM381" s="729"/>
      <c r="CN381" s="729"/>
    </row>
    <row r="382" spans="1:92" hidden="1">
      <c r="A382" s="646" t="s">
        <v>1001</v>
      </c>
      <c r="B382" s="647"/>
      <c r="C382" s="647"/>
      <c r="D382" s="647"/>
      <c r="F382" s="647"/>
      <c r="G382" s="647"/>
      <c r="H382" s="647"/>
      <c r="I382" s="647"/>
      <c r="J382" s="647"/>
      <c r="K382" s="647"/>
      <c r="L382" s="647"/>
      <c r="M382" s="647"/>
      <c r="N382" s="647"/>
      <c r="O382" s="647"/>
      <c r="P382" s="647"/>
      <c r="Q382" s="647"/>
      <c r="R382" s="647"/>
      <c r="S382" s="647"/>
      <c r="T382" s="647"/>
      <c r="U382" s="647"/>
      <c r="V382" s="647"/>
      <c r="W382" s="647"/>
      <c r="X382" s="647"/>
      <c r="Y382" s="647"/>
      <c r="Z382" s="647"/>
      <c r="AA382" s="647"/>
      <c r="AB382" s="647"/>
      <c r="AC382" s="647"/>
      <c r="AD382" s="647"/>
      <c r="AE382" s="647"/>
      <c r="AF382" s="647"/>
      <c r="AG382" s="647"/>
      <c r="AH382" s="647"/>
      <c r="AI382" s="647"/>
      <c r="AJ382" s="647"/>
      <c r="AK382" s="647"/>
      <c r="AL382" s="647"/>
      <c r="AM382" s="647"/>
      <c r="AN382" s="647"/>
      <c r="AO382" s="647"/>
      <c r="AP382" s="647"/>
      <c r="AQ382" s="647"/>
      <c r="AR382" s="647"/>
      <c r="AS382" s="647"/>
      <c r="AT382" s="647"/>
      <c r="AU382" s="647"/>
      <c r="AV382" s="647"/>
      <c r="AW382" s="647"/>
      <c r="AX382" s="647"/>
      <c r="AY382" s="647"/>
      <c r="AZ382" s="647"/>
      <c r="BA382" s="647"/>
      <c r="BB382" s="647"/>
      <c r="BC382" s="647"/>
      <c r="BD382" s="647"/>
      <c r="BE382" s="647"/>
      <c r="BF382" s="647"/>
      <c r="BG382" s="647"/>
      <c r="BH382" s="647"/>
      <c r="BI382" s="647"/>
      <c r="BJ382" s="647"/>
      <c r="BK382" s="647"/>
      <c r="BL382" s="647"/>
      <c r="BM382" s="647"/>
      <c r="BN382" s="647"/>
      <c r="BO382" s="647"/>
      <c r="BP382" s="647"/>
      <c r="BQ382" s="647"/>
      <c r="BR382" s="647"/>
      <c r="BS382" s="647"/>
      <c r="BT382" s="647"/>
      <c r="BU382" s="647"/>
      <c r="BV382" s="647"/>
      <c r="BW382" s="647"/>
      <c r="BX382" s="647"/>
      <c r="BY382" s="647"/>
      <c r="BZ382" s="647"/>
      <c r="CA382" s="647"/>
      <c r="CB382" s="647"/>
      <c r="CC382" s="647"/>
      <c r="CD382" s="647"/>
      <c r="CE382" s="647"/>
      <c r="CF382" s="647"/>
      <c r="CG382" s="647"/>
      <c r="CH382" s="647"/>
      <c r="CI382" s="647"/>
      <c r="CJ382" s="647"/>
      <c r="CK382" s="647"/>
      <c r="CL382" s="647"/>
      <c r="CM382" s="647"/>
      <c r="CN382" s="647"/>
    </row>
    <row r="383" spans="1:92" hidden="1">
      <c r="A383" s="647"/>
      <c r="B383" s="646" t="s">
        <v>1204</v>
      </c>
      <c r="C383" s="647"/>
      <c r="D383" s="647"/>
      <c r="F383" s="647"/>
      <c r="G383" s="647"/>
      <c r="H383" s="647"/>
      <c r="I383" s="647"/>
      <c r="J383" s="647"/>
      <c r="K383" s="647"/>
      <c r="L383" s="647"/>
      <c r="M383" s="647"/>
      <c r="N383" s="647"/>
      <c r="O383" s="647"/>
      <c r="P383" s="647"/>
      <c r="Q383" s="647"/>
      <c r="R383" s="647"/>
      <c r="S383" s="647"/>
      <c r="T383" s="647"/>
      <c r="U383" s="647"/>
      <c r="V383" s="647"/>
      <c r="W383" s="647"/>
      <c r="X383" s="647"/>
      <c r="Y383" s="647"/>
      <c r="Z383" s="647"/>
      <c r="AA383" s="647"/>
      <c r="AB383" s="647"/>
      <c r="AC383" s="647"/>
      <c r="AD383" s="647"/>
      <c r="AE383" s="647"/>
      <c r="AF383" s="647"/>
      <c r="AG383" s="647"/>
      <c r="AH383" s="647"/>
      <c r="AI383" s="647"/>
      <c r="AJ383" s="647"/>
      <c r="AK383" s="647"/>
      <c r="AL383" s="647"/>
      <c r="AM383" s="647"/>
      <c r="AN383" s="647"/>
      <c r="AO383" s="647"/>
      <c r="AP383" s="647"/>
      <c r="AQ383" s="647"/>
      <c r="AR383" s="647"/>
      <c r="AS383" s="647"/>
      <c r="AT383" s="647"/>
      <c r="AU383" s="647"/>
      <c r="AV383" s="647"/>
      <c r="AW383" s="647"/>
      <c r="AX383" s="647"/>
      <c r="AY383" s="647"/>
      <c r="AZ383" s="647"/>
      <c r="BA383" s="647"/>
      <c r="BB383" s="647"/>
      <c r="BC383" s="647"/>
      <c r="BD383" s="647"/>
      <c r="BE383" s="647"/>
      <c r="BF383" s="647"/>
      <c r="BG383" s="647"/>
      <c r="BH383" s="647"/>
      <c r="BI383" s="647"/>
      <c r="BJ383" s="647"/>
      <c r="BK383" s="647"/>
      <c r="BL383" s="647"/>
      <c r="BM383" s="647"/>
      <c r="BN383" s="647"/>
      <c r="BO383" s="647"/>
      <c r="BP383" s="647"/>
      <c r="BQ383" s="647"/>
      <c r="BR383" s="647"/>
      <c r="BS383" s="647"/>
      <c r="BT383" s="647"/>
      <c r="BU383" s="647"/>
      <c r="BV383" s="647"/>
      <c r="BW383" s="647"/>
      <c r="BX383" s="647"/>
      <c r="BY383" s="647"/>
      <c r="BZ383" s="647"/>
      <c r="CA383" s="647"/>
      <c r="CB383" s="647"/>
      <c r="CC383" s="647"/>
      <c r="CD383" s="647"/>
      <c r="CE383" s="647"/>
      <c r="CF383" s="647"/>
      <c r="CG383" s="647"/>
      <c r="CH383" s="647"/>
      <c r="CI383" s="647"/>
      <c r="CJ383" s="647"/>
      <c r="CK383" s="647"/>
      <c r="CL383" s="647"/>
      <c r="CM383" s="647"/>
      <c r="CN383" s="647"/>
    </row>
    <row r="384" spans="1:92" hidden="1">
      <c r="A384" s="647"/>
      <c r="B384" s="647"/>
      <c r="C384" s="647"/>
      <c r="D384" s="647"/>
      <c r="F384" s="647"/>
      <c r="G384" s="647"/>
      <c r="H384" s="647"/>
      <c r="I384" s="647"/>
      <c r="J384" s="647"/>
      <c r="K384" s="647"/>
      <c r="L384" s="647"/>
      <c r="M384" s="647"/>
      <c r="N384" s="647"/>
      <c r="O384" s="647"/>
      <c r="P384" s="647"/>
      <c r="Q384" s="647"/>
      <c r="R384" s="647"/>
      <c r="S384" s="647"/>
      <c r="T384" s="647"/>
      <c r="U384" s="647"/>
      <c r="V384" s="647"/>
      <c r="W384" s="647"/>
      <c r="X384" s="647"/>
      <c r="Y384" s="647"/>
      <c r="Z384" s="647"/>
      <c r="AA384" s="647"/>
      <c r="AB384" s="647"/>
      <c r="AC384" s="647"/>
      <c r="AD384" s="647"/>
      <c r="AE384" s="647"/>
      <c r="AF384" s="647"/>
      <c r="AG384" s="647"/>
      <c r="AH384" s="647"/>
      <c r="AI384" s="647"/>
      <c r="AJ384" s="647"/>
      <c r="AK384" s="647"/>
      <c r="AL384" s="647"/>
      <c r="AM384" s="647"/>
      <c r="AN384" s="647"/>
      <c r="AO384" s="647"/>
      <c r="AP384" s="647"/>
      <c r="AQ384" s="647"/>
      <c r="AR384" s="647"/>
      <c r="AS384" s="647"/>
      <c r="AT384" s="647"/>
      <c r="AU384" s="647"/>
      <c r="AV384" s="647"/>
      <c r="AW384" s="647"/>
      <c r="AX384" s="647"/>
      <c r="AY384" s="647"/>
      <c r="AZ384" s="647"/>
      <c r="BA384" s="647"/>
      <c r="BB384" s="647"/>
      <c r="BC384" s="647"/>
      <c r="BD384" s="647"/>
      <c r="BE384" s="647"/>
      <c r="BF384" s="647"/>
      <c r="BG384" s="647"/>
      <c r="BH384" s="647"/>
      <c r="BI384" s="647"/>
      <c r="BJ384" s="647"/>
      <c r="BK384" s="647"/>
      <c r="BL384" s="647"/>
      <c r="BM384" s="647"/>
      <c r="BN384" s="647"/>
      <c r="BO384" s="647"/>
      <c r="BP384" s="647"/>
      <c r="BQ384" s="647"/>
      <c r="BR384" s="647"/>
      <c r="BS384" s="647"/>
      <c r="BT384" s="647"/>
      <c r="BU384" s="647"/>
      <c r="BV384" s="647"/>
      <c r="BW384" s="647"/>
      <c r="BX384" s="647"/>
      <c r="BY384" s="647"/>
      <c r="BZ384" s="647"/>
      <c r="CA384" s="647"/>
      <c r="CB384" s="647"/>
      <c r="CC384" s="647"/>
      <c r="CD384" s="647"/>
      <c r="CE384" s="647"/>
      <c r="CF384" s="647"/>
      <c r="CG384" s="647"/>
      <c r="CH384" s="647"/>
      <c r="CI384" s="647"/>
      <c r="CJ384" s="647"/>
      <c r="CK384" s="647"/>
      <c r="CL384" s="647"/>
      <c r="CM384" s="647"/>
      <c r="CN384" s="647"/>
    </row>
    <row r="385" spans="2:13" ht="48" hidden="1">
      <c r="B385" s="661" t="s">
        <v>99</v>
      </c>
      <c r="C385" s="661" t="s">
        <v>65</v>
      </c>
      <c r="D385" s="661" t="s">
        <v>2</v>
      </c>
      <c r="E385" s="662" t="s">
        <v>1205</v>
      </c>
      <c r="F385" s="661" t="s">
        <v>1206</v>
      </c>
      <c r="G385" s="661" t="s">
        <v>1207</v>
      </c>
      <c r="H385" s="661" t="s">
        <v>1208</v>
      </c>
      <c r="I385" s="661" t="s">
        <v>1209</v>
      </c>
      <c r="J385" s="661" t="s">
        <v>1210</v>
      </c>
      <c r="K385" s="661" t="s">
        <v>1211</v>
      </c>
      <c r="L385" s="661" t="s">
        <v>1212</v>
      </c>
      <c r="M385" s="661" t="s">
        <v>1213</v>
      </c>
    </row>
    <row r="386" spans="2:13" hidden="1">
      <c r="B386" s="663" t="s">
        <v>1007</v>
      </c>
      <c r="C386" s="666" t="s">
        <v>1214</v>
      </c>
      <c r="D386" s="664">
        <v>0</v>
      </c>
      <c r="E386" s="665">
        <v>0</v>
      </c>
      <c r="F386" s="664">
        <v>0</v>
      </c>
      <c r="G386" s="664">
        <v>0</v>
      </c>
      <c r="H386" s="664">
        <v>0</v>
      </c>
      <c r="I386" s="664">
        <v>0</v>
      </c>
      <c r="J386" s="664">
        <v>0</v>
      </c>
      <c r="K386" s="664">
        <v>0</v>
      </c>
      <c r="L386" s="664">
        <v>0</v>
      </c>
      <c r="M386" s="664">
        <v>0</v>
      </c>
    </row>
    <row r="387" spans="2:13" hidden="1">
      <c r="B387" s="663" t="s">
        <v>1039</v>
      </c>
      <c r="C387" s="663" t="s">
        <v>1034</v>
      </c>
      <c r="D387" s="664">
        <v>0</v>
      </c>
      <c r="E387" s="665">
        <v>0</v>
      </c>
      <c r="F387" s="664">
        <v>0</v>
      </c>
      <c r="G387" s="664">
        <v>0</v>
      </c>
      <c r="H387" s="664">
        <v>0</v>
      </c>
      <c r="I387" s="664">
        <v>0</v>
      </c>
      <c r="J387" s="664">
        <v>0</v>
      </c>
      <c r="K387" s="664">
        <v>0</v>
      </c>
      <c r="L387" s="664">
        <v>0</v>
      </c>
      <c r="M387" s="664">
        <v>0</v>
      </c>
    </row>
    <row r="388" spans="2:13" hidden="1">
      <c r="B388" s="663" t="s">
        <v>1040</v>
      </c>
      <c r="C388" s="663" t="s">
        <v>377</v>
      </c>
      <c r="D388" s="664">
        <v>0</v>
      </c>
      <c r="E388" s="665">
        <v>0</v>
      </c>
      <c r="F388" s="664">
        <v>0</v>
      </c>
      <c r="G388" s="664">
        <v>0</v>
      </c>
      <c r="H388" s="664">
        <v>0</v>
      </c>
      <c r="I388" s="664">
        <v>0</v>
      </c>
      <c r="J388" s="664">
        <v>0</v>
      </c>
      <c r="K388" s="664">
        <v>0</v>
      </c>
      <c r="L388" s="664">
        <v>0</v>
      </c>
      <c r="M388" s="664">
        <v>0</v>
      </c>
    </row>
    <row r="389" spans="2:13" ht="24" hidden="1">
      <c r="B389" s="663" t="s">
        <v>1041</v>
      </c>
      <c r="C389" s="663" t="s">
        <v>1215</v>
      </c>
      <c r="D389" s="664">
        <v>0</v>
      </c>
      <c r="E389" s="665">
        <v>0</v>
      </c>
      <c r="F389" s="664">
        <v>0</v>
      </c>
      <c r="G389" s="664">
        <v>0</v>
      </c>
      <c r="H389" s="664">
        <v>0</v>
      </c>
      <c r="I389" s="664">
        <v>0</v>
      </c>
      <c r="J389" s="664">
        <v>0</v>
      </c>
      <c r="K389" s="664">
        <v>0</v>
      </c>
      <c r="L389" s="664">
        <v>0</v>
      </c>
      <c r="M389" s="664">
        <v>0</v>
      </c>
    </row>
    <row r="390" spans="2:13" hidden="1">
      <c r="B390" s="663" t="s">
        <v>1042</v>
      </c>
      <c r="C390" s="663" t="s">
        <v>1216</v>
      </c>
      <c r="D390" s="664">
        <v>0</v>
      </c>
      <c r="E390" s="665">
        <v>0</v>
      </c>
      <c r="F390" s="664">
        <v>0</v>
      </c>
      <c r="G390" s="664">
        <v>0</v>
      </c>
      <c r="H390" s="664">
        <v>0</v>
      </c>
      <c r="I390" s="664">
        <v>0</v>
      </c>
      <c r="J390" s="664">
        <v>0</v>
      </c>
      <c r="K390" s="664">
        <v>0</v>
      </c>
      <c r="L390" s="664">
        <v>0</v>
      </c>
      <c r="M390" s="664">
        <v>0</v>
      </c>
    </row>
    <row r="391" spans="2:13" ht="24" hidden="1">
      <c r="B391" s="663" t="s">
        <v>1043</v>
      </c>
      <c r="C391" s="663" t="s">
        <v>1217</v>
      </c>
      <c r="D391" s="664">
        <v>0</v>
      </c>
      <c r="E391" s="665">
        <v>0</v>
      </c>
      <c r="F391" s="664">
        <v>0</v>
      </c>
      <c r="G391" s="664">
        <v>0</v>
      </c>
      <c r="H391" s="664">
        <v>0</v>
      </c>
      <c r="I391" s="664">
        <v>0</v>
      </c>
      <c r="J391" s="664">
        <v>0</v>
      </c>
      <c r="K391" s="664">
        <v>0</v>
      </c>
      <c r="L391" s="664">
        <v>0</v>
      </c>
      <c r="M391" s="664">
        <v>0</v>
      </c>
    </row>
    <row r="392" spans="2:13" hidden="1">
      <c r="B392" s="663" t="s">
        <v>1044</v>
      </c>
      <c r="C392" s="663" t="s">
        <v>1035</v>
      </c>
      <c r="D392" s="664">
        <v>0</v>
      </c>
      <c r="E392" s="665">
        <v>0</v>
      </c>
      <c r="F392" s="664">
        <v>0</v>
      </c>
      <c r="G392" s="664">
        <v>0</v>
      </c>
      <c r="H392" s="664">
        <v>0</v>
      </c>
      <c r="I392" s="664">
        <v>0</v>
      </c>
      <c r="J392" s="664">
        <v>0</v>
      </c>
      <c r="K392" s="664">
        <v>0</v>
      </c>
      <c r="L392" s="664">
        <v>0</v>
      </c>
      <c r="M392" s="664">
        <v>0</v>
      </c>
    </row>
    <row r="393" spans="2:13" hidden="1">
      <c r="B393" s="663" t="s">
        <v>1045</v>
      </c>
      <c r="C393" s="663" t="s">
        <v>1036</v>
      </c>
      <c r="D393" s="664">
        <v>0</v>
      </c>
      <c r="E393" s="665">
        <v>0</v>
      </c>
      <c r="F393" s="664">
        <v>0</v>
      </c>
      <c r="G393" s="664">
        <v>0</v>
      </c>
      <c r="H393" s="664">
        <v>0</v>
      </c>
      <c r="I393" s="664">
        <v>0</v>
      </c>
      <c r="J393" s="664">
        <v>0</v>
      </c>
      <c r="K393" s="664">
        <v>0</v>
      </c>
      <c r="L393" s="664">
        <v>0</v>
      </c>
      <c r="M393" s="664">
        <v>0</v>
      </c>
    </row>
    <row r="394" spans="2:13" ht="24" hidden="1">
      <c r="B394" s="663" t="s">
        <v>1046</v>
      </c>
      <c r="C394" s="663" t="s">
        <v>1037</v>
      </c>
      <c r="D394" s="664">
        <v>0</v>
      </c>
      <c r="E394" s="665">
        <v>0</v>
      </c>
      <c r="F394" s="664">
        <v>0</v>
      </c>
      <c r="G394" s="664">
        <v>0</v>
      </c>
      <c r="H394" s="664">
        <v>0</v>
      </c>
      <c r="I394" s="664">
        <v>0</v>
      </c>
      <c r="J394" s="664">
        <v>0</v>
      </c>
      <c r="K394" s="664">
        <v>0</v>
      </c>
      <c r="L394" s="664">
        <v>0</v>
      </c>
      <c r="M394" s="664">
        <v>0</v>
      </c>
    </row>
    <row r="395" spans="2:13" hidden="1">
      <c r="B395" s="663" t="s">
        <v>1218</v>
      </c>
      <c r="C395" s="663" t="s">
        <v>836</v>
      </c>
      <c r="D395" s="664">
        <v>0</v>
      </c>
      <c r="E395" s="665">
        <v>0</v>
      </c>
      <c r="F395" s="664">
        <v>0</v>
      </c>
      <c r="G395" s="664">
        <v>0</v>
      </c>
      <c r="H395" s="664">
        <v>0</v>
      </c>
      <c r="I395" s="664">
        <v>0</v>
      </c>
      <c r="J395" s="664">
        <v>0</v>
      </c>
      <c r="K395" s="664">
        <v>0</v>
      </c>
      <c r="L395" s="664">
        <v>0</v>
      </c>
      <c r="M395" s="664">
        <v>0</v>
      </c>
    </row>
    <row r="396" spans="2:13" hidden="1">
      <c r="B396" s="663" t="s">
        <v>1219</v>
      </c>
      <c r="C396" s="663" t="s">
        <v>1220</v>
      </c>
      <c r="D396" s="664">
        <v>0</v>
      </c>
      <c r="E396" s="665">
        <v>0</v>
      </c>
      <c r="F396" s="664">
        <v>0</v>
      </c>
      <c r="G396" s="664">
        <v>0</v>
      </c>
      <c r="H396" s="664">
        <v>0</v>
      </c>
      <c r="I396" s="664">
        <v>0</v>
      </c>
      <c r="J396" s="664">
        <v>0</v>
      </c>
      <c r="K396" s="664">
        <v>0</v>
      </c>
      <c r="L396" s="664">
        <v>0</v>
      </c>
      <c r="M396" s="664">
        <v>0</v>
      </c>
    </row>
    <row r="397" spans="2:13" hidden="1">
      <c r="B397" s="663" t="s">
        <v>1221</v>
      </c>
      <c r="C397" s="663" t="s">
        <v>1222</v>
      </c>
      <c r="D397" s="664">
        <v>0</v>
      </c>
      <c r="E397" s="665">
        <v>0</v>
      </c>
      <c r="F397" s="664">
        <v>0</v>
      </c>
      <c r="G397" s="664">
        <v>0</v>
      </c>
      <c r="H397" s="664">
        <v>0</v>
      </c>
      <c r="I397" s="664">
        <v>0</v>
      </c>
      <c r="J397" s="664">
        <v>0</v>
      </c>
      <c r="K397" s="664">
        <v>0</v>
      </c>
      <c r="L397" s="664">
        <v>0</v>
      </c>
      <c r="M397" s="664">
        <v>0</v>
      </c>
    </row>
    <row r="398" spans="2:13" hidden="1">
      <c r="B398" s="663" t="s">
        <v>1223</v>
      </c>
      <c r="C398" s="666" t="s">
        <v>1224</v>
      </c>
      <c r="D398" s="664">
        <v>0</v>
      </c>
      <c r="E398" s="665">
        <v>0</v>
      </c>
      <c r="F398" s="664">
        <v>0</v>
      </c>
      <c r="G398" s="664">
        <v>0</v>
      </c>
      <c r="H398" s="664">
        <v>0</v>
      </c>
      <c r="I398" s="664">
        <v>0</v>
      </c>
      <c r="J398" s="664">
        <v>0</v>
      </c>
      <c r="K398" s="664">
        <v>0</v>
      </c>
      <c r="L398" s="664">
        <v>0</v>
      </c>
      <c r="M398" s="664">
        <v>0</v>
      </c>
    </row>
    <row r="399" spans="2:13" hidden="1">
      <c r="B399" s="663" t="s">
        <v>1007</v>
      </c>
      <c r="C399" s="666" t="s">
        <v>1225</v>
      </c>
      <c r="D399" s="664">
        <v>0</v>
      </c>
      <c r="E399" s="665">
        <v>0</v>
      </c>
      <c r="F399" s="664">
        <v>0</v>
      </c>
      <c r="G399" s="664">
        <v>0</v>
      </c>
      <c r="H399" s="664">
        <v>0</v>
      </c>
      <c r="I399" s="664">
        <v>0</v>
      </c>
      <c r="J399" s="664">
        <v>0</v>
      </c>
      <c r="K399" s="664">
        <v>0</v>
      </c>
      <c r="L399" s="664">
        <v>0</v>
      </c>
      <c r="M399" s="664">
        <v>0</v>
      </c>
    </row>
    <row r="400" spans="2:13" hidden="1">
      <c r="B400" s="663" t="s">
        <v>1047</v>
      </c>
      <c r="C400" s="663" t="s">
        <v>1053</v>
      </c>
      <c r="D400" s="664">
        <v>0</v>
      </c>
      <c r="E400" s="665">
        <v>0</v>
      </c>
      <c r="F400" s="664">
        <v>0</v>
      </c>
      <c r="G400" s="664">
        <v>0</v>
      </c>
      <c r="H400" s="664">
        <v>0</v>
      </c>
      <c r="I400" s="664">
        <v>0</v>
      </c>
      <c r="J400" s="664">
        <v>0</v>
      </c>
      <c r="K400" s="664">
        <v>0</v>
      </c>
      <c r="L400" s="664">
        <v>0</v>
      </c>
      <c r="M400" s="664">
        <v>0</v>
      </c>
    </row>
    <row r="401" spans="1:92" ht="24" hidden="1">
      <c r="A401" s="647"/>
      <c r="B401" s="663" t="s">
        <v>1048</v>
      </c>
      <c r="C401" s="663" t="s">
        <v>1054</v>
      </c>
      <c r="D401" s="664">
        <v>0</v>
      </c>
      <c r="E401" s="665">
        <v>0</v>
      </c>
      <c r="F401" s="664">
        <v>0</v>
      </c>
      <c r="G401" s="664">
        <v>0</v>
      </c>
      <c r="H401" s="664">
        <v>0</v>
      </c>
      <c r="I401" s="664">
        <v>0</v>
      </c>
      <c r="J401" s="664">
        <v>0</v>
      </c>
      <c r="K401" s="664">
        <v>0</v>
      </c>
      <c r="L401" s="664">
        <v>0</v>
      </c>
      <c r="M401" s="664">
        <v>0</v>
      </c>
      <c r="N401" s="647"/>
      <c r="O401" s="647"/>
      <c r="P401" s="647"/>
      <c r="Q401" s="647"/>
      <c r="R401" s="647"/>
      <c r="S401" s="647"/>
      <c r="T401" s="647"/>
      <c r="U401" s="647"/>
      <c r="V401" s="647"/>
      <c r="W401" s="647"/>
      <c r="X401" s="647"/>
      <c r="Y401" s="647"/>
      <c r="Z401" s="647"/>
      <c r="AA401" s="647"/>
      <c r="AB401" s="647"/>
      <c r="AC401" s="647"/>
      <c r="AD401" s="647"/>
      <c r="AE401" s="647"/>
      <c r="AF401" s="647"/>
      <c r="AG401" s="647"/>
      <c r="AH401" s="647"/>
      <c r="AI401" s="647"/>
      <c r="AJ401" s="647"/>
      <c r="AK401" s="647"/>
      <c r="AL401" s="647"/>
      <c r="AM401" s="647"/>
      <c r="AN401" s="647"/>
      <c r="AO401" s="647"/>
      <c r="AP401" s="647"/>
      <c r="AQ401" s="647"/>
      <c r="AR401" s="647"/>
      <c r="AS401" s="647"/>
      <c r="AT401" s="647"/>
      <c r="AU401" s="647"/>
      <c r="AV401" s="647"/>
      <c r="AW401" s="647"/>
      <c r="AX401" s="647"/>
      <c r="AY401" s="647"/>
      <c r="AZ401" s="647"/>
      <c r="BA401" s="647"/>
      <c r="BB401" s="647"/>
      <c r="BC401" s="647"/>
      <c r="BD401" s="647"/>
      <c r="BE401" s="647"/>
      <c r="BF401" s="647"/>
      <c r="BG401" s="647"/>
      <c r="BH401" s="647"/>
      <c r="BI401" s="647"/>
      <c r="BJ401" s="647"/>
      <c r="BK401" s="647"/>
      <c r="BL401" s="647"/>
      <c r="BM401" s="647"/>
      <c r="BN401" s="647"/>
      <c r="BO401" s="647"/>
      <c r="BP401" s="647"/>
      <c r="BQ401" s="647"/>
      <c r="BR401" s="647"/>
      <c r="BS401" s="647"/>
      <c r="BT401" s="647"/>
      <c r="BU401" s="647"/>
      <c r="BV401" s="647"/>
      <c r="BW401" s="647"/>
      <c r="BX401" s="647"/>
      <c r="BY401" s="647"/>
      <c r="BZ401" s="647"/>
      <c r="CA401" s="647"/>
      <c r="CB401" s="647"/>
      <c r="CC401" s="647"/>
      <c r="CD401" s="647"/>
      <c r="CE401" s="647"/>
      <c r="CF401" s="647"/>
      <c r="CG401" s="647"/>
      <c r="CH401" s="647"/>
      <c r="CI401" s="647"/>
      <c r="CJ401" s="647"/>
      <c r="CK401" s="647"/>
      <c r="CL401" s="647"/>
      <c r="CM401" s="647"/>
      <c r="CN401" s="647"/>
    </row>
    <row r="402" spans="1:92" ht="24" hidden="1">
      <c r="A402" s="647"/>
      <c r="B402" s="663" t="s">
        <v>1049</v>
      </c>
      <c r="C402" s="663" t="s">
        <v>1226</v>
      </c>
      <c r="D402" s="664">
        <v>0</v>
      </c>
      <c r="E402" s="665">
        <v>0</v>
      </c>
      <c r="F402" s="664">
        <v>0</v>
      </c>
      <c r="G402" s="664">
        <v>0</v>
      </c>
      <c r="H402" s="664">
        <v>0</v>
      </c>
      <c r="I402" s="664">
        <v>0</v>
      </c>
      <c r="J402" s="664">
        <v>0</v>
      </c>
      <c r="K402" s="664">
        <v>0</v>
      </c>
      <c r="L402" s="664">
        <v>0</v>
      </c>
      <c r="M402" s="664">
        <v>0</v>
      </c>
      <c r="N402" s="647"/>
      <c r="O402" s="647"/>
      <c r="P402" s="647"/>
      <c r="Q402" s="647"/>
      <c r="R402" s="647"/>
      <c r="S402" s="647"/>
      <c r="T402" s="647"/>
      <c r="U402" s="647"/>
      <c r="V402" s="647"/>
      <c r="W402" s="647"/>
      <c r="X402" s="647"/>
      <c r="Y402" s="647"/>
      <c r="Z402" s="647"/>
      <c r="AA402" s="647"/>
      <c r="AB402" s="647"/>
      <c r="AC402" s="647"/>
      <c r="AD402" s="647"/>
      <c r="AE402" s="647"/>
      <c r="AF402" s="647"/>
      <c r="AG402" s="647"/>
      <c r="AH402" s="647"/>
      <c r="AI402" s="647"/>
      <c r="AJ402" s="647"/>
      <c r="AK402" s="647"/>
      <c r="AL402" s="647"/>
      <c r="AM402" s="647"/>
      <c r="AN402" s="647"/>
      <c r="AO402" s="647"/>
      <c r="AP402" s="647"/>
      <c r="AQ402" s="647"/>
      <c r="AR402" s="647"/>
      <c r="AS402" s="647"/>
      <c r="AT402" s="647"/>
      <c r="AU402" s="647"/>
      <c r="AV402" s="647"/>
      <c r="AW402" s="647"/>
      <c r="AX402" s="647"/>
      <c r="AY402" s="647"/>
      <c r="AZ402" s="647"/>
      <c r="BA402" s="647"/>
      <c r="BB402" s="647"/>
      <c r="BC402" s="647"/>
      <c r="BD402" s="647"/>
      <c r="BE402" s="647"/>
      <c r="BF402" s="647"/>
      <c r="BG402" s="647"/>
      <c r="BH402" s="647"/>
      <c r="BI402" s="647"/>
      <c r="BJ402" s="647"/>
      <c r="BK402" s="647"/>
      <c r="BL402" s="647"/>
      <c r="BM402" s="647"/>
      <c r="BN402" s="647"/>
      <c r="BO402" s="647"/>
      <c r="BP402" s="647"/>
      <c r="BQ402" s="647"/>
      <c r="BR402" s="647"/>
      <c r="BS402" s="647"/>
      <c r="BT402" s="647"/>
      <c r="BU402" s="647"/>
      <c r="BV402" s="647"/>
      <c r="BW402" s="647"/>
      <c r="BX402" s="647"/>
      <c r="BY402" s="647"/>
      <c r="BZ402" s="647"/>
      <c r="CA402" s="647"/>
      <c r="CB402" s="647"/>
      <c r="CC402" s="647"/>
      <c r="CD402" s="647"/>
      <c r="CE402" s="647"/>
      <c r="CF402" s="647"/>
      <c r="CG402" s="647"/>
      <c r="CH402" s="647"/>
      <c r="CI402" s="647"/>
      <c r="CJ402" s="647"/>
      <c r="CK402" s="647"/>
      <c r="CL402" s="647"/>
      <c r="CM402" s="647"/>
      <c r="CN402" s="647"/>
    </row>
    <row r="403" spans="1:92" hidden="1">
      <c r="A403" s="647"/>
      <c r="B403" s="663" t="s">
        <v>1050</v>
      </c>
      <c r="C403" s="663" t="s">
        <v>1227</v>
      </c>
      <c r="D403" s="664">
        <v>0</v>
      </c>
      <c r="E403" s="665">
        <v>0</v>
      </c>
      <c r="F403" s="664">
        <v>0</v>
      </c>
      <c r="G403" s="664">
        <v>0</v>
      </c>
      <c r="H403" s="664">
        <v>0</v>
      </c>
      <c r="I403" s="664">
        <v>0</v>
      </c>
      <c r="J403" s="664">
        <v>0</v>
      </c>
      <c r="K403" s="664">
        <v>0</v>
      </c>
      <c r="L403" s="664">
        <v>0</v>
      </c>
      <c r="M403" s="664">
        <v>0</v>
      </c>
      <c r="N403" s="647"/>
      <c r="O403" s="647"/>
      <c r="P403" s="647"/>
      <c r="Q403" s="647"/>
      <c r="R403" s="647"/>
      <c r="S403" s="647"/>
      <c r="T403" s="647"/>
      <c r="U403" s="647"/>
      <c r="V403" s="647"/>
      <c r="W403" s="647"/>
      <c r="X403" s="647"/>
      <c r="Y403" s="647"/>
      <c r="Z403" s="647"/>
      <c r="AA403" s="647"/>
      <c r="AB403" s="647"/>
      <c r="AC403" s="647"/>
      <c r="AD403" s="647"/>
      <c r="AE403" s="647"/>
      <c r="AF403" s="647"/>
      <c r="AG403" s="647"/>
      <c r="AH403" s="647"/>
      <c r="AI403" s="647"/>
      <c r="AJ403" s="647"/>
      <c r="AK403" s="647"/>
      <c r="AL403" s="647"/>
      <c r="AM403" s="647"/>
      <c r="AN403" s="647"/>
      <c r="AO403" s="647"/>
      <c r="AP403" s="647"/>
      <c r="AQ403" s="647"/>
      <c r="AR403" s="647"/>
      <c r="AS403" s="647"/>
      <c r="AT403" s="647"/>
      <c r="AU403" s="647"/>
      <c r="AV403" s="647"/>
      <c r="AW403" s="647"/>
      <c r="AX403" s="647"/>
      <c r="AY403" s="647"/>
      <c r="AZ403" s="647"/>
      <c r="BA403" s="647"/>
      <c r="BB403" s="647"/>
      <c r="BC403" s="647"/>
      <c r="BD403" s="647"/>
      <c r="BE403" s="647"/>
      <c r="BF403" s="647"/>
      <c r="BG403" s="647"/>
      <c r="BH403" s="647"/>
      <c r="BI403" s="647"/>
      <c r="BJ403" s="647"/>
      <c r="BK403" s="647"/>
      <c r="BL403" s="647"/>
      <c r="BM403" s="647"/>
      <c r="BN403" s="647"/>
      <c r="BO403" s="647"/>
      <c r="BP403" s="647"/>
      <c r="BQ403" s="647"/>
      <c r="BR403" s="647"/>
      <c r="BS403" s="647"/>
      <c r="BT403" s="647"/>
      <c r="BU403" s="647"/>
      <c r="BV403" s="647"/>
      <c r="BW403" s="647"/>
      <c r="BX403" s="647"/>
      <c r="BY403" s="647"/>
      <c r="BZ403" s="647"/>
      <c r="CA403" s="647"/>
      <c r="CB403" s="647"/>
      <c r="CC403" s="647"/>
      <c r="CD403" s="647"/>
      <c r="CE403" s="647"/>
      <c r="CF403" s="647"/>
      <c r="CG403" s="647"/>
      <c r="CH403" s="647"/>
      <c r="CI403" s="647"/>
      <c r="CJ403" s="647"/>
      <c r="CK403" s="647"/>
      <c r="CL403" s="647"/>
      <c r="CM403" s="647"/>
      <c r="CN403" s="647"/>
    </row>
    <row r="404" spans="1:92" hidden="1">
      <c r="A404" s="647"/>
      <c r="B404" s="663" t="s">
        <v>1051</v>
      </c>
      <c r="C404" s="663" t="s">
        <v>1055</v>
      </c>
      <c r="D404" s="664">
        <v>0</v>
      </c>
      <c r="E404" s="665">
        <v>0</v>
      </c>
      <c r="F404" s="664">
        <v>0</v>
      </c>
      <c r="G404" s="664">
        <v>0</v>
      </c>
      <c r="H404" s="664">
        <v>0</v>
      </c>
      <c r="I404" s="664">
        <v>0</v>
      </c>
      <c r="J404" s="664">
        <v>0</v>
      </c>
      <c r="K404" s="664">
        <v>0</v>
      </c>
      <c r="L404" s="664">
        <v>0</v>
      </c>
      <c r="M404" s="664">
        <v>0</v>
      </c>
      <c r="N404" s="647"/>
      <c r="O404" s="647"/>
      <c r="P404" s="647"/>
      <c r="Q404" s="647"/>
      <c r="R404" s="647"/>
      <c r="S404" s="647"/>
      <c r="T404" s="647"/>
      <c r="U404" s="647"/>
      <c r="V404" s="647"/>
      <c r="W404" s="647"/>
      <c r="X404" s="647"/>
      <c r="Y404" s="647"/>
      <c r="Z404" s="647"/>
      <c r="AA404" s="647"/>
      <c r="AB404" s="647"/>
      <c r="AC404" s="647"/>
      <c r="AD404" s="647"/>
      <c r="AE404" s="647"/>
      <c r="AF404" s="647"/>
      <c r="AG404" s="647"/>
      <c r="AH404" s="647"/>
      <c r="AI404" s="647"/>
      <c r="AJ404" s="647"/>
      <c r="AK404" s="647"/>
      <c r="AL404" s="647"/>
      <c r="AM404" s="647"/>
      <c r="AN404" s="647"/>
      <c r="AO404" s="647"/>
      <c r="AP404" s="647"/>
      <c r="AQ404" s="647"/>
      <c r="AR404" s="647"/>
      <c r="AS404" s="647"/>
      <c r="AT404" s="647"/>
      <c r="AU404" s="647"/>
      <c r="AV404" s="647"/>
      <c r="AW404" s="647"/>
      <c r="AX404" s="647"/>
      <c r="AY404" s="647"/>
      <c r="AZ404" s="647"/>
      <c r="BA404" s="647"/>
      <c r="BB404" s="647"/>
      <c r="BC404" s="647"/>
      <c r="BD404" s="647"/>
      <c r="BE404" s="647"/>
      <c r="BF404" s="647"/>
      <c r="BG404" s="647"/>
      <c r="BH404" s="647"/>
      <c r="BI404" s="647"/>
      <c r="BJ404" s="647"/>
      <c r="BK404" s="647"/>
      <c r="BL404" s="647"/>
      <c r="BM404" s="647"/>
      <c r="BN404" s="647"/>
      <c r="BO404" s="647"/>
      <c r="BP404" s="647"/>
      <c r="BQ404" s="647"/>
      <c r="BR404" s="647"/>
      <c r="BS404" s="647"/>
      <c r="BT404" s="647"/>
      <c r="BU404" s="647"/>
      <c r="BV404" s="647"/>
      <c r="BW404" s="647"/>
      <c r="BX404" s="647"/>
      <c r="BY404" s="647"/>
      <c r="BZ404" s="647"/>
      <c r="CA404" s="647"/>
      <c r="CB404" s="647"/>
      <c r="CC404" s="647"/>
      <c r="CD404" s="647"/>
      <c r="CE404" s="647"/>
      <c r="CF404" s="647"/>
      <c r="CG404" s="647"/>
      <c r="CH404" s="647"/>
      <c r="CI404" s="647"/>
      <c r="CJ404" s="647"/>
      <c r="CK404" s="647"/>
      <c r="CL404" s="647"/>
      <c r="CM404" s="647"/>
      <c r="CN404" s="647"/>
    </row>
    <row r="405" spans="1:92" hidden="1">
      <c r="A405" s="647"/>
      <c r="B405" s="663" t="s">
        <v>1052</v>
      </c>
      <c r="C405" s="663" t="s">
        <v>1056</v>
      </c>
      <c r="D405" s="664">
        <v>0</v>
      </c>
      <c r="E405" s="665">
        <v>0</v>
      </c>
      <c r="F405" s="664">
        <v>0</v>
      </c>
      <c r="G405" s="664">
        <v>0</v>
      </c>
      <c r="H405" s="664">
        <v>0</v>
      </c>
      <c r="I405" s="664">
        <v>0</v>
      </c>
      <c r="J405" s="664">
        <v>0</v>
      </c>
      <c r="K405" s="664">
        <v>0</v>
      </c>
      <c r="L405" s="664">
        <v>0</v>
      </c>
      <c r="M405" s="664">
        <v>0</v>
      </c>
      <c r="N405" s="647"/>
      <c r="O405" s="647"/>
      <c r="P405" s="647"/>
      <c r="Q405" s="647"/>
      <c r="R405" s="647"/>
      <c r="S405" s="647"/>
      <c r="T405" s="647"/>
      <c r="U405" s="647"/>
      <c r="V405" s="647"/>
      <c r="W405" s="647"/>
      <c r="X405" s="647"/>
      <c r="Y405" s="647"/>
      <c r="Z405" s="647"/>
      <c r="AA405" s="647"/>
      <c r="AB405" s="647"/>
      <c r="AC405" s="647"/>
      <c r="AD405" s="647"/>
      <c r="AE405" s="647"/>
      <c r="AF405" s="647"/>
      <c r="AG405" s="647"/>
      <c r="AH405" s="647"/>
      <c r="AI405" s="647"/>
      <c r="AJ405" s="647"/>
      <c r="AK405" s="647"/>
      <c r="AL405" s="647"/>
      <c r="AM405" s="647"/>
      <c r="AN405" s="647"/>
      <c r="AO405" s="647"/>
      <c r="AP405" s="647"/>
      <c r="AQ405" s="647"/>
      <c r="AR405" s="647"/>
      <c r="AS405" s="647"/>
      <c r="AT405" s="647"/>
      <c r="AU405" s="647"/>
      <c r="AV405" s="647"/>
      <c r="AW405" s="647"/>
      <c r="AX405" s="647"/>
      <c r="AY405" s="647"/>
      <c r="AZ405" s="647"/>
      <c r="BA405" s="647"/>
      <c r="BB405" s="647"/>
      <c r="BC405" s="647"/>
      <c r="BD405" s="647"/>
      <c r="BE405" s="647"/>
      <c r="BF405" s="647"/>
      <c r="BG405" s="647"/>
      <c r="BH405" s="647"/>
      <c r="BI405" s="647"/>
      <c r="BJ405" s="647"/>
      <c r="BK405" s="647"/>
      <c r="BL405" s="647"/>
      <c r="BM405" s="647"/>
      <c r="BN405" s="647"/>
      <c r="BO405" s="647"/>
      <c r="BP405" s="647"/>
      <c r="BQ405" s="647"/>
      <c r="BR405" s="647"/>
      <c r="BS405" s="647"/>
      <c r="BT405" s="647"/>
      <c r="BU405" s="647"/>
      <c r="BV405" s="647"/>
      <c r="BW405" s="647"/>
      <c r="BX405" s="647"/>
      <c r="BY405" s="647"/>
      <c r="BZ405" s="647"/>
      <c r="CA405" s="647"/>
      <c r="CB405" s="647"/>
      <c r="CC405" s="647"/>
      <c r="CD405" s="647"/>
      <c r="CE405" s="647"/>
      <c r="CF405" s="647"/>
      <c r="CG405" s="647"/>
      <c r="CH405" s="647"/>
      <c r="CI405" s="647"/>
      <c r="CJ405" s="647"/>
      <c r="CK405" s="647"/>
      <c r="CL405" s="647"/>
      <c r="CM405" s="647"/>
      <c r="CN405" s="647"/>
    </row>
    <row r="406" spans="1:92" hidden="1">
      <c r="A406" s="647"/>
      <c r="B406" s="663" t="s">
        <v>1228</v>
      </c>
      <c r="C406" s="663" t="s">
        <v>1057</v>
      </c>
      <c r="D406" s="664">
        <v>0</v>
      </c>
      <c r="E406" s="665">
        <v>0</v>
      </c>
      <c r="F406" s="664">
        <v>0</v>
      </c>
      <c r="G406" s="664">
        <v>0</v>
      </c>
      <c r="H406" s="664">
        <v>0</v>
      </c>
      <c r="I406" s="664">
        <v>0</v>
      </c>
      <c r="J406" s="664">
        <v>0</v>
      </c>
      <c r="K406" s="664">
        <v>0</v>
      </c>
      <c r="L406" s="664">
        <v>0</v>
      </c>
      <c r="M406" s="664">
        <v>0</v>
      </c>
      <c r="N406" s="647"/>
      <c r="O406" s="647"/>
      <c r="P406" s="647"/>
      <c r="Q406" s="647"/>
      <c r="R406" s="647"/>
      <c r="S406" s="647"/>
      <c r="T406" s="647"/>
      <c r="U406" s="647"/>
      <c r="V406" s="647"/>
      <c r="W406" s="647"/>
      <c r="X406" s="647"/>
      <c r="Y406" s="647"/>
      <c r="Z406" s="647"/>
      <c r="AA406" s="647"/>
      <c r="AB406" s="647"/>
      <c r="AC406" s="647"/>
      <c r="AD406" s="647"/>
      <c r="AE406" s="647"/>
      <c r="AF406" s="647"/>
      <c r="AG406" s="647"/>
      <c r="AH406" s="647"/>
      <c r="AI406" s="647"/>
      <c r="AJ406" s="647"/>
      <c r="AK406" s="647"/>
      <c r="AL406" s="647"/>
      <c r="AM406" s="647"/>
      <c r="AN406" s="647"/>
      <c r="AO406" s="647"/>
      <c r="AP406" s="647"/>
      <c r="AQ406" s="647"/>
      <c r="AR406" s="647"/>
      <c r="AS406" s="647"/>
      <c r="AT406" s="647"/>
      <c r="AU406" s="647"/>
      <c r="AV406" s="647"/>
      <c r="AW406" s="647"/>
      <c r="AX406" s="647"/>
      <c r="AY406" s="647"/>
      <c r="AZ406" s="647"/>
      <c r="BA406" s="647"/>
      <c r="BB406" s="647"/>
      <c r="BC406" s="647"/>
      <c r="BD406" s="647"/>
      <c r="BE406" s="647"/>
      <c r="BF406" s="647"/>
      <c r="BG406" s="647"/>
      <c r="BH406" s="647"/>
      <c r="BI406" s="647"/>
      <c r="BJ406" s="647"/>
      <c r="BK406" s="647"/>
      <c r="BL406" s="647"/>
      <c r="BM406" s="647"/>
      <c r="BN406" s="647"/>
      <c r="BO406" s="647"/>
      <c r="BP406" s="647"/>
      <c r="BQ406" s="647"/>
      <c r="BR406" s="647"/>
      <c r="BS406" s="647"/>
      <c r="BT406" s="647"/>
      <c r="BU406" s="647"/>
      <c r="BV406" s="647"/>
      <c r="BW406" s="647"/>
      <c r="BX406" s="647"/>
      <c r="BY406" s="647"/>
      <c r="BZ406" s="647"/>
      <c r="CA406" s="647"/>
      <c r="CB406" s="647"/>
      <c r="CC406" s="647"/>
      <c r="CD406" s="647"/>
      <c r="CE406" s="647"/>
      <c r="CF406" s="647"/>
      <c r="CG406" s="647"/>
      <c r="CH406" s="647"/>
      <c r="CI406" s="647"/>
      <c r="CJ406" s="647"/>
      <c r="CK406" s="647"/>
      <c r="CL406" s="647"/>
      <c r="CM406" s="647"/>
      <c r="CN406" s="647"/>
    </row>
    <row r="407" spans="1:92" hidden="1">
      <c r="A407" s="647"/>
      <c r="B407" s="663" t="s">
        <v>1229</v>
      </c>
      <c r="C407" s="663" t="s">
        <v>1058</v>
      </c>
      <c r="D407" s="664">
        <v>0</v>
      </c>
      <c r="E407" s="665">
        <v>0</v>
      </c>
      <c r="F407" s="664">
        <v>0</v>
      </c>
      <c r="G407" s="664">
        <v>0</v>
      </c>
      <c r="H407" s="664">
        <v>0</v>
      </c>
      <c r="I407" s="664">
        <v>0</v>
      </c>
      <c r="J407" s="664">
        <v>0</v>
      </c>
      <c r="K407" s="664">
        <v>0</v>
      </c>
      <c r="L407" s="664">
        <v>0</v>
      </c>
      <c r="M407" s="664">
        <v>0</v>
      </c>
      <c r="N407" s="647"/>
      <c r="O407" s="647"/>
      <c r="P407" s="647"/>
      <c r="Q407" s="647"/>
      <c r="R407" s="647"/>
      <c r="S407" s="647"/>
      <c r="T407" s="647"/>
      <c r="U407" s="647"/>
      <c r="V407" s="647"/>
      <c r="W407" s="647"/>
      <c r="X407" s="647"/>
      <c r="Y407" s="647"/>
      <c r="Z407" s="647"/>
      <c r="AA407" s="647"/>
      <c r="AB407" s="647"/>
      <c r="AC407" s="647"/>
      <c r="AD407" s="647"/>
      <c r="AE407" s="647"/>
      <c r="AF407" s="647"/>
      <c r="AG407" s="647"/>
      <c r="AH407" s="647"/>
      <c r="AI407" s="647"/>
      <c r="AJ407" s="647"/>
      <c r="AK407" s="647"/>
      <c r="AL407" s="647"/>
      <c r="AM407" s="647"/>
      <c r="AN407" s="647"/>
      <c r="AO407" s="647"/>
      <c r="AP407" s="647"/>
      <c r="AQ407" s="647"/>
      <c r="AR407" s="647"/>
      <c r="AS407" s="647"/>
      <c r="AT407" s="647"/>
      <c r="AU407" s="647"/>
      <c r="AV407" s="647"/>
      <c r="AW407" s="647"/>
      <c r="AX407" s="647"/>
      <c r="AY407" s="647"/>
      <c r="AZ407" s="647"/>
      <c r="BA407" s="647"/>
      <c r="BB407" s="647"/>
      <c r="BC407" s="647"/>
      <c r="BD407" s="647"/>
      <c r="BE407" s="647"/>
      <c r="BF407" s="647"/>
      <c r="BG407" s="647"/>
      <c r="BH407" s="647"/>
      <c r="BI407" s="647"/>
      <c r="BJ407" s="647"/>
      <c r="BK407" s="647"/>
      <c r="BL407" s="647"/>
      <c r="BM407" s="647"/>
      <c r="BN407" s="647"/>
      <c r="BO407" s="647"/>
      <c r="BP407" s="647"/>
      <c r="BQ407" s="647"/>
      <c r="BR407" s="647"/>
      <c r="BS407" s="647"/>
      <c r="BT407" s="647"/>
      <c r="BU407" s="647"/>
      <c r="BV407" s="647"/>
      <c r="BW407" s="647"/>
      <c r="BX407" s="647"/>
      <c r="BY407" s="647"/>
      <c r="BZ407" s="647"/>
      <c r="CA407" s="647"/>
      <c r="CB407" s="647"/>
      <c r="CC407" s="647"/>
      <c r="CD407" s="647"/>
      <c r="CE407" s="647"/>
      <c r="CF407" s="647"/>
      <c r="CG407" s="647"/>
      <c r="CH407" s="647"/>
      <c r="CI407" s="647"/>
      <c r="CJ407" s="647"/>
      <c r="CK407" s="647"/>
      <c r="CL407" s="647"/>
      <c r="CM407" s="647"/>
      <c r="CN407" s="647"/>
    </row>
    <row r="408" spans="1:92" hidden="1">
      <c r="A408" s="647"/>
      <c r="B408" s="663" t="s">
        <v>1230</v>
      </c>
      <c r="C408" s="663" t="s">
        <v>381</v>
      </c>
      <c r="D408" s="664">
        <v>0</v>
      </c>
      <c r="E408" s="665">
        <v>0</v>
      </c>
      <c r="F408" s="664">
        <v>0</v>
      </c>
      <c r="G408" s="664">
        <v>0</v>
      </c>
      <c r="H408" s="664">
        <v>0</v>
      </c>
      <c r="I408" s="664">
        <v>0</v>
      </c>
      <c r="J408" s="664">
        <v>0</v>
      </c>
      <c r="K408" s="664">
        <v>0</v>
      </c>
      <c r="L408" s="664">
        <v>0</v>
      </c>
      <c r="M408" s="664">
        <v>0</v>
      </c>
      <c r="N408" s="647"/>
      <c r="O408" s="647"/>
      <c r="P408" s="647"/>
      <c r="Q408" s="647"/>
      <c r="R408" s="647"/>
      <c r="S408" s="647"/>
      <c r="T408" s="647"/>
      <c r="U408" s="647"/>
      <c r="V408" s="647"/>
      <c r="W408" s="647"/>
      <c r="X408" s="647"/>
      <c r="Y408" s="647"/>
      <c r="Z408" s="647"/>
      <c r="AA408" s="647"/>
      <c r="AB408" s="647"/>
      <c r="AC408" s="647"/>
      <c r="AD408" s="647"/>
      <c r="AE408" s="647"/>
      <c r="AF408" s="647"/>
      <c r="AG408" s="647"/>
      <c r="AH408" s="647"/>
      <c r="AI408" s="647"/>
      <c r="AJ408" s="647"/>
      <c r="AK408" s="647"/>
      <c r="AL408" s="647"/>
      <c r="AM408" s="647"/>
      <c r="AN408" s="647"/>
      <c r="AO408" s="647"/>
      <c r="AP408" s="647"/>
      <c r="AQ408" s="647"/>
      <c r="AR408" s="647"/>
      <c r="AS408" s="647"/>
      <c r="AT408" s="647"/>
      <c r="AU408" s="647"/>
      <c r="AV408" s="647"/>
      <c r="AW408" s="647"/>
      <c r="AX408" s="647"/>
      <c r="AY408" s="647"/>
      <c r="AZ408" s="647"/>
      <c r="BA408" s="647"/>
      <c r="BB408" s="647"/>
      <c r="BC408" s="647"/>
      <c r="BD408" s="647"/>
      <c r="BE408" s="647"/>
      <c r="BF408" s="647"/>
      <c r="BG408" s="647"/>
      <c r="BH408" s="647"/>
      <c r="BI408" s="647"/>
      <c r="BJ408" s="647"/>
      <c r="BK408" s="647"/>
      <c r="BL408" s="647"/>
      <c r="BM408" s="647"/>
      <c r="BN408" s="647"/>
      <c r="BO408" s="647"/>
      <c r="BP408" s="647"/>
      <c r="BQ408" s="647"/>
      <c r="BR408" s="647"/>
      <c r="BS408" s="647"/>
      <c r="BT408" s="647"/>
      <c r="BU408" s="647"/>
      <c r="BV408" s="647"/>
      <c r="BW408" s="647"/>
      <c r="BX408" s="647"/>
      <c r="BY408" s="647"/>
      <c r="BZ408" s="647"/>
      <c r="CA408" s="647"/>
      <c r="CB408" s="647"/>
      <c r="CC408" s="647"/>
      <c r="CD408" s="647"/>
      <c r="CE408" s="647"/>
      <c r="CF408" s="647"/>
      <c r="CG408" s="647"/>
      <c r="CH408" s="647"/>
      <c r="CI408" s="647"/>
      <c r="CJ408" s="647"/>
      <c r="CK408" s="647"/>
      <c r="CL408" s="647"/>
      <c r="CM408" s="647"/>
      <c r="CN408" s="647"/>
    </row>
    <row r="409" spans="1:92" ht="48" hidden="1">
      <c r="A409" s="647"/>
      <c r="B409" s="663" t="s">
        <v>1231</v>
      </c>
      <c r="C409" s="663" t="s">
        <v>1232</v>
      </c>
      <c r="D409" s="664">
        <v>0</v>
      </c>
      <c r="E409" s="665">
        <v>0</v>
      </c>
      <c r="F409" s="664">
        <v>0</v>
      </c>
      <c r="G409" s="664">
        <v>0</v>
      </c>
      <c r="H409" s="664">
        <v>0</v>
      </c>
      <c r="I409" s="664">
        <v>0</v>
      </c>
      <c r="J409" s="664">
        <v>0</v>
      </c>
      <c r="K409" s="664">
        <v>0</v>
      </c>
      <c r="L409" s="664">
        <v>0</v>
      </c>
      <c r="M409" s="664">
        <v>0</v>
      </c>
      <c r="N409" s="647"/>
      <c r="O409" s="647"/>
      <c r="P409" s="647"/>
      <c r="Q409" s="647"/>
      <c r="R409" s="647"/>
      <c r="S409" s="647"/>
      <c r="T409" s="647"/>
      <c r="U409" s="647"/>
      <c r="V409" s="647"/>
      <c r="W409" s="647"/>
      <c r="X409" s="647"/>
      <c r="Y409" s="647"/>
      <c r="Z409" s="647"/>
      <c r="AA409" s="647"/>
      <c r="AB409" s="647"/>
      <c r="AC409" s="647"/>
      <c r="AD409" s="647"/>
      <c r="AE409" s="647"/>
      <c r="AF409" s="647"/>
      <c r="AG409" s="647"/>
      <c r="AH409" s="647"/>
      <c r="AI409" s="647"/>
      <c r="AJ409" s="647"/>
      <c r="AK409" s="647"/>
      <c r="AL409" s="647"/>
      <c r="AM409" s="647"/>
      <c r="AN409" s="647"/>
      <c r="AO409" s="647"/>
      <c r="AP409" s="647"/>
      <c r="AQ409" s="647"/>
      <c r="AR409" s="647"/>
      <c r="AS409" s="647"/>
      <c r="AT409" s="647"/>
      <c r="AU409" s="647"/>
      <c r="AV409" s="647"/>
      <c r="AW409" s="647"/>
      <c r="AX409" s="647"/>
      <c r="AY409" s="647"/>
      <c r="AZ409" s="647"/>
      <c r="BA409" s="647"/>
      <c r="BB409" s="647"/>
      <c r="BC409" s="647"/>
      <c r="BD409" s="647"/>
      <c r="BE409" s="647"/>
      <c r="BF409" s="647"/>
      <c r="BG409" s="647"/>
      <c r="BH409" s="647"/>
      <c r="BI409" s="647"/>
      <c r="BJ409" s="647"/>
      <c r="BK409" s="647"/>
      <c r="BL409" s="647"/>
      <c r="BM409" s="647"/>
      <c r="BN409" s="647"/>
      <c r="BO409" s="647"/>
      <c r="BP409" s="647"/>
      <c r="BQ409" s="647"/>
      <c r="BR409" s="647"/>
      <c r="BS409" s="647"/>
      <c r="BT409" s="647"/>
      <c r="BU409" s="647"/>
      <c r="BV409" s="647"/>
      <c r="BW409" s="647"/>
      <c r="BX409" s="647"/>
      <c r="BY409" s="647"/>
      <c r="BZ409" s="647"/>
      <c r="CA409" s="647"/>
      <c r="CB409" s="647"/>
      <c r="CC409" s="647"/>
      <c r="CD409" s="647"/>
      <c r="CE409" s="647"/>
      <c r="CF409" s="647"/>
      <c r="CG409" s="647"/>
      <c r="CH409" s="647"/>
      <c r="CI409" s="647"/>
      <c r="CJ409" s="647"/>
      <c r="CK409" s="647"/>
      <c r="CL409" s="647"/>
      <c r="CM409" s="647"/>
      <c r="CN409" s="647"/>
    </row>
    <row r="410" spans="1:92" ht="24" hidden="1">
      <c r="A410" s="647"/>
      <c r="B410" s="663" t="s">
        <v>1233</v>
      </c>
      <c r="C410" s="666" t="s">
        <v>1234</v>
      </c>
      <c r="D410" s="664">
        <v>0</v>
      </c>
      <c r="E410" s="665">
        <v>0</v>
      </c>
      <c r="F410" s="664">
        <v>0</v>
      </c>
      <c r="G410" s="664">
        <v>0</v>
      </c>
      <c r="H410" s="664">
        <v>0</v>
      </c>
      <c r="I410" s="664">
        <v>0</v>
      </c>
      <c r="J410" s="664">
        <v>0</v>
      </c>
      <c r="K410" s="664">
        <v>0</v>
      </c>
      <c r="L410" s="664">
        <v>0</v>
      </c>
      <c r="M410" s="664">
        <v>0</v>
      </c>
      <c r="N410" s="647"/>
      <c r="O410" s="647"/>
      <c r="P410" s="647"/>
      <c r="Q410" s="647"/>
      <c r="R410" s="647"/>
      <c r="S410" s="647"/>
      <c r="T410" s="647"/>
      <c r="U410" s="647"/>
      <c r="V410" s="647"/>
      <c r="W410" s="647"/>
      <c r="X410" s="647"/>
      <c r="Y410" s="647"/>
      <c r="Z410" s="647"/>
      <c r="AA410" s="647"/>
      <c r="AB410" s="647"/>
      <c r="AC410" s="647"/>
      <c r="AD410" s="647"/>
      <c r="AE410" s="647"/>
      <c r="AF410" s="647"/>
      <c r="AG410" s="647"/>
      <c r="AH410" s="647"/>
      <c r="AI410" s="647"/>
      <c r="AJ410" s="647"/>
      <c r="AK410" s="647"/>
      <c r="AL410" s="647"/>
      <c r="AM410" s="647"/>
      <c r="AN410" s="647"/>
      <c r="AO410" s="647"/>
      <c r="AP410" s="647"/>
      <c r="AQ410" s="647"/>
      <c r="AR410" s="647"/>
      <c r="AS410" s="647"/>
      <c r="AT410" s="647"/>
      <c r="AU410" s="647"/>
      <c r="AV410" s="647"/>
      <c r="AW410" s="647"/>
      <c r="AX410" s="647"/>
      <c r="AY410" s="647"/>
      <c r="AZ410" s="647"/>
      <c r="BA410" s="647"/>
      <c r="BB410" s="647"/>
      <c r="BC410" s="647"/>
      <c r="BD410" s="647"/>
      <c r="BE410" s="647"/>
      <c r="BF410" s="647"/>
      <c r="BG410" s="647"/>
      <c r="BH410" s="647"/>
      <c r="BI410" s="647"/>
      <c r="BJ410" s="647"/>
      <c r="BK410" s="647"/>
      <c r="BL410" s="647"/>
      <c r="BM410" s="647"/>
      <c r="BN410" s="647"/>
      <c r="BO410" s="647"/>
      <c r="BP410" s="647"/>
      <c r="BQ410" s="647"/>
      <c r="BR410" s="647"/>
      <c r="BS410" s="647"/>
      <c r="BT410" s="647"/>
      <c r="BU410" s="647"/>
      <c r="BV410" s="647"/>
      <c r="BW410" s="647"/>
      <c r="BX410" s="647"/>
      <c r="BY410" s="647"/>
      <c r="BZ410" s="647"/>
      <c r="CA410" s="647"/>
      <c r="CB410" s="647"/>
      <c r="CC410" s="647"/>
      <c r="CD410" s="647"/>
      <c r="CE410" s="647"/>
      <c r="CF410" s="647"/>
      <c r="CG410" s="647"/>
      <c r="CH410" s="647"/>
      <c r="CI410" s="647"/>
      <c r="CJ410" s="647"/>
      <c r="CK410" s="647"/>
      <c r="CL410" s="647"/>
      <c r="CM410" s="647"/>
      <c r="CN410" s="647"/>
    </row>
    <row r="411" spans="1:92" ht="24" hidden="1">
      <c r="A411" s="647"/>
      <c r="B411" s="663" t="s">
        <v>1005</v>
      </c>
      <c r="C411" s="666" t="s">
        <v>1235</v>
      </c>
      <c r="D411" s="664">
        <v>0</v>
      </c>
      <c r="E411" s="665">
        <v>0</v>
      </c>
      <c r="F411" s="664">
        <v>0</v>
      </c>
      <c r="G411" s="664">
        <v>0</v>
      </c>
      <c r="H411" s="664">
        <v>0</v>
      </c>
      <c r="I411" s="664">
        <v>0</v>
      </c>
      <c r="J411" s="664">
        <v>0</v>
      </c>
      <c r="K411" s="664">
        <v>0</v>
      </c>
      <c r="L411" s="664">
        <v>0</v>
      </c>
      <c r="M411" s="664">
        <v>0</v>
      </c>
      <c r="N411" s="647"/>
      <c r="O411" s="647"/>
      <c r="P411" s="647"/>
      <c r="Q411" s="647"/>
      <c r="R411" s="647"/>
      <c r="S411" s="647"/>
      <c r="T411" s="647"/>
      <c r="U411" s="647"/>
      <c r="V411" s="647"/>
      <c r="W411" s="647"/>
      <c r="X411" s="647"/>
      <c r="Y411" s="647"/>
      <c r="Z411" s="647"/>
      <c r="AA411" s="647"/>
      <c r="AB411" s="647"/>
      <c r="AC411" s="647"/>
      <c r="AD411" s="647"/>
      <c r="AE411" s="647"/>
      <c r="AF411" s="647"/>
      <c r="AG411" s="647"/>
      <c r="AH411" s="647"/>
      <c r="AI411" s="647"/>
      <c r="AJ411" s="647"/>
      <c r="AK411" s="647"/>
      <c r="AL411" s="647"/>
      <c r="AM411" s="647"/>
      <c r="AN411" s="647"/>
      <c r="AO411" s="647"/>
      <c r="AP411" s="647"/>
      <c r="AQ411" s="647"/>
      <c r="AR411" s="647"/>
      <c r="AS411" s="647"/>
      <c r="AT411" s="647"/>
      <c r="AU411" s="647"/>
      <c r="AV411" s="647"/>
      <c r="AW411" s="647"/>
      <c r="AX411" s="647"/>
      <c r="AY411" s="647"/>
      <c r="AZ411" s="647"/>
      <c r="BA411" s="647"/>
      <c r="BB411" s="647"/>
      <c r="BC411" s="647"/>
      <c r="BD411" s="647"/>
      <c r="BE411" s="647"/>
      <c r="BF411" s="647"/>
      <c r="BG411" s="647"/>
      <c r="BH411" s="647"/>
      <c r="BI411" s="647"/>
      <c r="BJ411" s="647"/>
      <c r="BK411" s="647"/>
      <c r="BL411" s="647"/>
      <c r="BM411" s="647"/>
      <c r="BN411" s="647"/>
      <c r="BO411" s="647"/>
      <c r="BP411" s="647"/>
      <c r="BQ411" s="647"/>
      <c r="BR411" s="647"/>
      <c r="BS411" s="647"/>
      <c r="BT411" s="647"/>
      <c r="BU411" s="647"/>
      <c r="BV411" s="647"/>
      <c r="BW411" s="647"/>
      <c r="BX411" s="647"/>
      <c r="BY411" s="647"/>
      <c r="BZ411" s="647"/>
      <c r="CA411" s="647"/>
      <c r="CB411" s="647"/>
      <c r="CC411" s="647"/>
      <c r="CD411" s="647"/>
      <c r="CE411" s="647"/>
      <c r="CF411" s="647"/>
      <c r="CG411" s="647"/>
      <c r="CH411" s="647"/>
      <c r="CI411" s="647"/>
      <c r="CJ411" s="647"/>
      <c r="CK411" s="647"/>
      <c r="CL411" s="647"/>
      <c r="CM411" s="647"/>
      <c r="CN411" s="647"/>
    </row>
    <row r="412" spans="1:92" hidden="1">
      <c r="A412" s="647"/>
      <c r="B412" s="663" t="s">
        <v>1013</v>
      </c>
      <c r="C412" s="663" t="s">
        <v>1236</v>
      </c>
      <c r="D412" s="664">
        <v>0</v>
      </c>
      <c r="E412" s="665">
        <v>0</v>
      </c>
      <c r="F412" s="664">
        <v>0</v>
      </c>
      <c r="G412" s="664">
        <v>0</v>
      </c>
      <c r="H412" s="664">
        <v>0</v>
      </c>
      <c r="I412" s="664">
        <v>0</v>
      </c>
      <c r="J412" s="664">
        <v>0</v>
      </c>
      <c r="K412" s="664">
        <v>0</v>
      </c>
      <c r="L412" s="664">
        <v>0</v>
      </c>
      <c r="M412" s="664">
        <v>0</v>
      </c>
      <c r="N412" s="647"/>
      <c r="O412" s="647"/>
      <c r="P412" s="647"/>
      <c r="Q412" s="647"/>
      <c r="R412" s="647"/>
      <c r="S412" s="647"/>
      <c r="T412" s="647"/>
      <c r="U412" s="647"/>
      <c r="V412" s="647"/>
      <c r="W412" s="647"/>
      <c r="X412" s="647"/>
      <c r="Y412" s="647"/>
      <c r="Z412" s="647"/>
      <c r="AA412" s="647"/>
      <c r="AB412" s="647"/>
      <c r="AC412" s="647"/>
      <c r="AD412" s="647"/>
      <c r="AE412" s="647"/>
      <c r="AF412" s="647"/>
      <c r="AG412" s="647"/>
      <c r="AH412" s="647"/>
      <c r="AI412" s="647"/>
      <c r="AJ412" s="647"/>
      <c r="AK412" s="647"/>
      <c r="AL412" s="647"/>
      <c r="AM412" s="647"/>
      <c r="AN412" s="647"/>
      <c r="AO412" s="647"/>
      <c r="AP412" s="647"/>
      <c r="AQ412" s="647"/>
      <c r="AR412" s="647"/>
      <c r="AS412" s="647"/>
      <c r="AT412" s="647"/>
      <c r="AU412" s="647"/>
      <c r="AV412" s="647"/>
      <c r="AW412" s="647"/>
      <c r="AX412" s="647"/>
      <c r="AY412" s="647"/>
      <c r="AZ412" s="647"/>
      <c r="BA412" s="647"/>
      <c r="BB412" s="647"/>
      <c r="BC412" s="647"/>
      <c r="BD412" s="647"/>
      <c r="BE412" s="647"/>
      <c r="BF412" s="647"/>
      <c r="BG412" s="647"/>
      <c r="BH412" s="647"/>
      <c r="BI412" s="647"/>
      <c r="BJ412" s="647"/>
      <c r="BK412" s="647"/>
      <c r="BL412" s="647"/>
      <c r="BM412" s="647"/>
      <c r="BN412" s="647"/>
      <c r="BO412" s="647"/>
      <c r="BP412" s="647"/>
      <c r="BQ412" s="647"/>
      <c r="BR412" s="647"/>
      <c r="BS412" s="647"/>
      <c r="BT412" s="647"/>
      <c r="BU412" s="647"/>
      <c r="BV412" s="647"/>
      <c r="BW412" s="647"/>
      <c r="BX412" s="647"/>
      <c r="BY412" s="647"/>
      <c r="BZ412" s="647"/>
      <c r="CA412" s="647"/>
      <c r="CB412" s="647"/>
      <c r="CC412" s="647"/>
      <c r="CD412" s="647"/>
      <c r="CE412" s="647"/>
      <c r="CF412" s="647"/>
      <c r="CG412" s="647"/>
      <c r="CH412" s="647"/>
      <c r="CI412" s="647"/>
      <c r="CJ412" s="647"/>
      <c r="CK412" s="647"/>
      <c r="CL412" s="647"/>
      <c r="CM412" s="647"/>
      <c r="CN412" s="647"/>
    </row>
    <row r="413" spans="1:92" hidden="1">
      <c r="A413" s="647"/>
      <c r="B413" s="663" t="s">
        <v>1015</v>
      </c>
      <c r="C413" s="663" t="s">
        <v>1237</v>
      </c>
      <c r="D413" s="664">
        <v>0</v>
      </c>
      <c r="E413" s="665">
        <v>0</v>
      </c>
      <c r="F413" s="664">
        <v>0</v>
      </c>
      <c r="G413" s="664">
        <v>0</v>
      </c>
      <c r="H413" s="664">
        <v>0</v>
      </c>
      <c r="I413" s="664">
        <v>0</v>
      </c>
      <c r="J413" s="664">
        <v>0</v>
      </c>
      <c r="K413" s="664">
        <v>0</v>
      </c>
      <c r="L413" s="664">
        <v>0</v>
      </c>
      <c r="M413" s="664">
        <v>0</v>
      </c>
      <c r="N413" s="647"/>
      <c r="O413" s="647"/>
      <c r="P413" s="647"/>
      <c r="Q413" s="647"/>
      <c r="R413" s="647"/>
      <c r="S413" s="647"/>
      <c r="T413" s="647"/>
      <c r="U413" s="647"/>
      <c r="V413" s="647"/>
      <c r="W413" s="647"/>
      <c r="X413" s="647"/>
      <c r="Y413" s="647"/>
      <c r="Z413" s="647"/>
      <c r="AA413" s="647"/>
      <c r="AB413" s="647"/>
      <c r="AC413" s="647"/>
      <c r="AD413" s="647"/>
      <c r="AE413" s="647"/>
      <c r="AF413" s="647"/>
      <c r="AG413" s="647"/>
      <c r="AH413" s="647"/>
      <c r="AI413" s="647"/>
      <c r="AJ413" s="647"/>
      <c r="AK413" s="647"/>
      <c r="AL413" s="647"/>
      <c r="AM413" s="647"/>
      <c r="AN413" s="647"/>
      <c r="AO413" s="647"/>
      <c r="AP413" s="647"/>
      <c r="AQ413" s="647"/>
      <c r="AR413" s="647"/>
      <c r="AS413" s="647"/>
      <c r="AT413" s="647"/>
      <c r="AU413" s="647"/>
      <c r="AV413" s="647"/>
      <c r="AW413" s="647"/>
      <c r="AX413" s="647"/>
      <c r="AY413" s="647"/>
      <c r="AZ413" s="647"/>
      <c r="BA413" s="647"/>
      <c r="BB413" s="647"/>
      <c r="BC413" s="647"/>
      <c r="BD413" s="647"/>
      <c r="BE413" s="647"/>
      <c r="BF413" s="647"/>
      <c r="BG413" s="647"/>
      <c r="BH413" s="647"/>
      <c r="BI413" s="647"/>
      <c r="BJ413" s="647"/>
      <c r="BK413" s="647"/>
      <c r="BL413" s="647"/>
      <c r="BM413" s="647"/>
      <c r="BN413" s="647"/>
      <c r="BO413" s="647"/>
      <c r="BP413" s="647"/>
      <c r="BQ413" s="647"/>
      <c r="BR413" s="647"/>
      <c r="BS413" s="647"/>
      <c r="BT413" s="647"/>
      <c r="BU413" s="647"/>
      <c r="BV413" s="647"/>
      <c r="BW413" s="647"/>
      <c r="BX413" s="647"/>
      <c r="BY413" s="647"/>
      <c r="BZ413" s="647"/>
      <c r="CA413" s="647"/>
      <c r="CB413" s="647"/>
      <c r="CC413" s="647"/>
      <c r="CD413" s="647"/>
      <c r="CE413" s="647"/>
      <c r="CF413" s="647"/>
      <c r="CG413" s="647"/>
      <c r="CH413" s="647"/>
      <c r="CI413" s="647"/>
      <c r="CJ413" s="647"/>
      <c r="CK413" s="647"/>
      <c r="CL413" s="647"/>
      <c r="CM413" s="647"/>
      <c r="CN413" s="647"/>
    </row>
    <row r="414" spans="1:92" hidden="1">
      <c r="A414" s="647"/>
      <c r="B414" s="663" t="s">
        <v>1006</v>
      </c>
      <c r="C414" s="666" t="s">
        <v>95</v>
      </c>
      <c r="D414" s="664">
        <v>0</v>
      </c>
      <c r="E414" s="665">
        <v>0</v>
      </c>
      <c r="F414" s="664">
        <v>0</v>
      </c>
      <c r="G414" s="664">
        <v>0</v>
      </c>
      <c r="H414" s="664">
        <v>0</v>
      </c>
      <c r="I414" s="664">
        <v>0</v>
      </c>
      <c r="J414" s="664">
        <v>0</v>
      </c>
      <c r="K414" s="664">
        <v>0</v>
      </c>
      <c r="L414" s="664">
        <v>0</v>
      </c>
      <c r="M414" s="664">
        <v>0</v>
      </c>
      <c r="N414" s="647"/>
      <c r="O414" s="647"/>
      <c r="P414" s="647"/>
      <c r="Q414" s="647"/>
      <c r="R414" s="647"/>
      <c r="S414" s="647"/>
      <c r="T414" s="647"/>
      <c r="U414" s="647"/>
      <c r="V414" s="647"/>
      <c r="W414" s="647"/>
      <c r="X414" s="647"/>
      <c r="Y414" s="647"/>
      <c r="Z414" s="647"/>
      <c r="AA414" s="647"/>
      <c r="AB414" s="647"/>
      <c r="AC414" s="647"/>
      <c r="AD414" s="647"/>
      <c r="AE414" s="647"/>
      <c r="AF414" s="647"/>
      <c r="AG414" s="647"/>
      <c r="AH414" s="647"/>
      <c r="AI414" s="647"/>
      <c r="AJ414" s="647"/>
      <c r="AK414" s="647"/>
      <c r="AL414" s="647"/>
      <c r="AM414" s="647"/>
      <c r="AN414" s="647"/>
      <c r="AO414" s="647"/>
      <c r="AP414" s="647"/>
      <c r="AQ414" s="647"/>
      <c r="AR414" s="647"/>
      <c r="AS414" s="647"/>
      <c r="AT414" s="647"/>
      <c r="AU414" s="647"/>
      <c r="AV414" s="647"/>
      <c r="AW414" s="647"/>
      <c r="AX414" s="647"/>
      <c r="AY414" s="647"/>
      <c r="AZ414" s="647"/>
      <c r="BA414" s="647"/>
      <c r="BB414" s="647"/>
      <c r="BC414" s="647"/>
      <c r="BD414" s="647"/>
      <c r="BE414" s="647"/>
      <c r="BF414" s="647"/>
      <c r="BG414" s="647"/>
      <c r="BH414" s="647"/>
      <c r="BI414" s="647"/>
      <c r="BJ414" s="647"/>
      <c r="BK414" s="647"/>
      <c r="BL414" s="647"/>
      <c r="BM414" s="647"/>
      <c r="BN414" s="647"/>
      <c r="BO414" s="647"/>
      <c r="BP414" s="647"/>
      <c r="BQ414" s="647"/>
      <c r="BR414" s="647"/>
      <c r="BS414" s="647"/>
      <c r="BT414" s="647"/>
      <c r="BU414" s="647"/>
      <c r="BV414" s="647"/>
      <c r="BW414" s="647"/>
      <c r="BX414" s="647"/>
      <c r="BY414" s="647"/>
      <c r="BZ414" s="647"/>
      <c r="CA414" s="647"/>
      <c r="CB414" s="647"/>
      <c r="CC414" s="647"/>
      <c r="CD414" s="647"/>
      <c r="CE414" s="647"/>
      <c r="CF414" s="647"/>
      <c r="CG414" s="647"/>
      <c r="CH414" s="647"/>
      <c r="CI414" s="647"/>
      <c r="CJ414" s="647"/>
      <c r="CK414" s="647"/>
      <c r="CL414" s="647"/>
      <c r="CM414" s="647"/>
      <c r="CN414" s="647"/>
    </row>
    <row r="415" spans="1:92" hidden="1">
      <c r="A415" s="647" t="s">
        <v>1007</v>
      </c>
      <c r="B415" s="647" t="s">
        <v>1007</v>
      </c>
      <c r="C415" s="647" t="s">
        <v>1007</v>
      </c>
      <c r="D415" s="647" t="s">
        <v>1007</v>
      </c>
      <c r="F415" s="647"/>
      <c r="G415" s="647"/>
      <c r="H415" s="647"/>
      <c r="I415" s="647"/>
      <c r="J415" s="647"/>
      <c r="K415" s="647"/>
      <c r="L415" s="647"/>
      <c r="M415" s="647"/>
      <c r="N415" s="647"/>
      <c r="O415" s="647"/>
      <c r="P415" s="647"/>
      <c r="Q415" s="647"/>
      <c r="R415" s="647"/>
      <c r="S415" s="647"/>
      <c r="T415" s="647"/>
      <c r="U415" s="647"/>
      <c r="V415" s="647"/>
      <c r="W415" s="647"/>
      <c r="X415" s="647"/>
      <c r="Y415" s="647"/>
      <c r="Z415" s="647"/>
      <c r="AA415" s="647"/>
      <c r="AB415" s="647"/>
      <c r="AC415" s="647"/>
      <c r="AD415" s="647"/>
      <c r="AE415" s="647"/>
      <c r="AF415" s="647"/>
      <c r="AG415" s="647"/>
      <c r="AH415" s="647"/>
      <c r="AI415" s="647"/>
      <c r="AJ415" s="647"/>
      <c r="AK415" s="647"/>
      <c r="AL415" s="647"/>
      <c r="AM415" s="647"/>
      <c r="AN415" s="729"/>
      <c r="AO415" s="729"/>
      <c r="AP415" s="729"/>
      <c r="AQ415" s="729"/>
      <c r="AR415" s="729"/>
      <c r="AS415" s="729"/>
      <c r="AT415" s="729"/>
      <c r="AU415" s="729"/>
      <c r="AV415" s="729"/>
      <c r="AW415" s="729"/>
      <c r="AX415" s="729"/>
      <c r="AY415" s="729"/>
      <c r="AZ415" s="729"/>
      <c r="BA415" s="729"/>
      <c r="BB415" s="729"/>
      <c r="BC415" s="729"/>
      <c r="BD415" s="729"/>
      <c r="BE415" s="729"/>
      <c r="BF415" s="729"/>
      <c r="BG415" s="729"/>
      <c r="BH415" s="729"/>
      <c r="BI415" s="729"/>
      <c r="BJ415" s="729"/>
      <c r="BK415" s="729"/>
      <c r="BL415" s="729"/>
      <c r="BM415" s="729"/>
      <c r="BN415" s="729"/>
      <c r="BO415" s="729"/>
      <c r="BP415" s="729"/>
      <c r="BQ415" s="729"/>
      <c r="BR415" s="729"/>
      <c r="BS415" s="729"/>
      <c r="BT415" s="729"/>
      <c r="BU415" s="729"/>
      <c r="BV415" s="729"/>
      <c r="BW415" s="729"/>
      <c r="BX415" s="729"/>
      <c r="BY415" s="729"/>
      <c r="BZ415" s="729"/>
      <c r="CA415" s="729"/>
      <c r="CB415" s="729"/>
      <c r="CC415" s="729"/>
      <c r="CD415" s="729"/>
      <c r="CE415" s="729"/>
      <c r="CF415" s="729"/>
      <c r="CG415" s="729"/>
      <c r="CH415" s="729"/>
      <c r="CI415" s="729"/>
      <c r="CJ415" s="729"/>
      <c r="CK415" s="729"/>
      <c r="CL415" s="729"/>
      <c r="CM415" s="729"/>
      <c r="CN415" s="729"/>
    </row>
    <row r="416" spans="1:92">
      <c r="A416" s="646" t="s">
        <v>1001</v>
      </c>
      <c r="B416" s="647"/>
      <c r="C416" s="647"/>
      <c r="D416" s="647"/>
    </row>
    <row r="417" spans="1:92">
      <c r="A417" s="647"/>
      <c r="B417" s="646" t="s">
        <v>1238</v>
      </c>
      <c r="C417" s="647"/>
      <c r="D417" s="647"/>
    </row>
    <row r="418" spans="1:92" s="14" customFormat="1" ht="20.45" customHeight="1">
      <c r="A418" s="650"/>
      <c r="B418" s="650"/>
      <c r="C418" s="682" t="s">
        <v>65</v>
      </c>
      <c r="D418" s="682" t="s">
        <v>1146</v>
      </c>
      <c r="E418" s="682" t="s">
        <v>1239</v>
      </c>
      <c r="F418" s="684"/>
      <c r="G418" s="684"/>
      <c r="H418" s="685"/>
      <c r="I418" s="684"/>
    </row>
    <row r="419" spans="1:92" ht="24">
      <c r="A419" s="647"/>
      <c r="B419" s="647"/>
      <c r="C419" s="686" t="s">
        <v>1309</v>
      </c>
      <c r="D419" s="687">
        <v>0</v>
      </c>
      <c r="E419" s="687">
        <v>22780288.449999999</v>
      </c>
    </row>
    <row r="420" spans="1:92">
      <c r="A420" s="647"/>
      <c r="B420" s="647"/>
      <c r="C420" s="686" t="s">
        <v>1308</v>
      </c>
      <c r="D420" s="687">
        <v>0</v>
      </c>
      <c r="E420" s="687">
        <v>2339932.48</v>
      </c>
    </row>
    <row r="421" spans="1:92" ht="36">
      <c r="A421" s="647"/>
      <c r="B421" s="647"/>
      <c r="C421" s="686" t="s">
        <v>1310</v>
      </c>
      <c r="D421" s="687">
        <v>0</v>
      </c>
      <c r="E421" s="687">
        <v>0</v>
      </c>
    </row>
    <row r="422" spans="1:92">
      <c r="A422" s="647"/>
      <c r="B422" s="647"/>
      <c r="C422" s="686" t="s">
        <v>1311</v>
      </c>
      <c r="D422" s="687">
        <v>0</v>
      </c>
      <c r="E422" s="687">
        <v>0</v>
      </c>
    </row>
    <row r="423" spans="1:92">
      <c r="A423" s="647"/>
      <c r="B423" s="647"/>
      <c r="C423" s="686" t="s">
        <v>1312</v>
      </c>
      <c r="D423" s="687">
        <v>0</v>
      </c>
      <c r="E423" s="687">
        <v>580431.64</v>
      </c>
    </row>
    <row r="424" spans="1:92" ht="24">
      <c r="A424" s="647"/>
      <c r="B424" s="647"/>
      <c r="C424" s="686" t="s">
        <v>1313</v>
      </c>
      <c r="D424" s="687">
        <v>0</v>
      </c>
      <c r="E424" s="687">
        <v>0</v>
      </c>
    </row>
    <row r="425" spans="1:92" ht="24">
      <c r="A425" s="647"/>
      <c r="B425" s="647"/>
      <c r="C425" s="686" t="s">
        <v>1314</v>
      </c>
      <c r="D425" s="687">
        <v>0</v>
      </c>
      <c r="E425" s="687">
        <v>24691514.02</v>
      </c>
    </row>
    <row r="426" spans="1:92">
      <c r="A426" s="647"/>
      <c r="B426" s="647"/>
      <c r="C426" s="686" t="s">
        <v>1336</v>
      </c>
      <c r="D426" s="687">
        <v>0</v>
      </c>
      <c r="E426" s="687">
        <v>0</v>
      </c>
    </row>
    <row r="427" spans="1:92" ht="24">
      <c r="A427" s="647"/>
      <c r="B427" s="647"/>
      <c r="C427" s="686" t="s">
        <v>1337</v>
      </c>
      <c r="D427" s="687">
        <v>0</v>
      </c>
      <c r="E427" s="687">
        <v>0</v>
      </c>
    </row>
    <row r="428" spans="1:92">
      <c r="A428" s="647"/>
      <c r="B428" s="647"/>
      <c r="C428" s="686" t="s">
        <v>1315</v>
      </c>
      <c r="D428" s="687">
        <v>0</v>
      </c>
      <c r="E428" s="687">
        <v>0</v>
      </c>
    </row>
    <row r="429" spans="1:92">
      <c r="A429" s="647"/>
      <c r="B429" s="647"/>
      <c r="C429" s="686" t="s">
        <v>1316</v>
      </c>
      <c r="D429" s="687">
        <v>0</v>
      </c>
      <c r="E429" s="687">
        <v>221230</v>
      </c>
    </row>
    <row r="430" spans="1:92">
      <c r="A430" s="647"/>
      <c r="B430" s="647"/>
      <c r="C430" s="686" t="s">
        <v>1317</v>
      </c>
      <c r="D430" s="687">
        <v>0</v>
      </c>
      <c r="E430" s="687">
        <v>0</v>
      </c>
      <c r="F430" s="647"/>
      <c r="G430" s="647"/>
      <c r="H430" s="647"/>
      <c r="I430" s="647"/>
      <c r="J430" s="647"/>
      <c r="K430" s="647"/>
      <c r="L430" s="647"/>
      <c r="M430" s="647"/>
      <c r="N430" s="647"/>
      <c r="O430" s="647"/>
      <c r="P430" s="647"/>
      <c r="Q430" s="647"/>
      <c r="R430" s="647"/>
      <c r="S430" s="647"/>
      <c r="T430" s="647"/>
      <c r="U430" s="647"/>
      <c r="V430" s="647"/>
      <c r="W430" s="647"/>
      <c r="X430" s="647"/>
      <c r="Y430" s="647"/>
      <c r="Z430" s="647"/>
      <c r="AA430" s="647"/>
      <c r="AB430" s="647"/>
      <c r="AC430" s="647"/>
      <c r="AD430" s="647"/>
      <c r="AE430" s="647"/>
      <c r="AF430" s="647"/>
      <c r="AG430" s="647"/>
      <c r="AH430" s="647"/>
      <c r="AI430" s="647"/>
      <c r="AJ430" s="647"/>
      <c r="AK430" s="647"/>
      <c r="AL430" s="647"/>
      <c r="AM430" s="647"/>
      <c r="AN430" s="647"/>
      <c r="AO430" s="647"/>
      <c r="AP430" s="647"/>
      <c r="AQ430" s="647"/>
      <c r="AR430" s="647"/>
      <c r="AS430" s="647"/>
      <c r="AT430" s="647"/>
      <c r="AU430" s="647"/>
      <c r="AV430" s="647"/>
      <c r="AW430" s="647"/>
      <c r="AX430" s="647"/>
      <c r="AY430" s="647"/>
      <c r="AZ430" s="647"/>
      <c r="BA430" s="647"/>
      <c r="BB430" s="647"/>
      <c r="BC430" s="647"/>
      <c r="BD430" s="647"/>
      <c r="BE430" s="647"/>
      <c r="BF430" s="647"/>
      <c r="BG430" s="647"/>
      <c r="BH430" s="647"/>
      <c r="BI430" s="647"/>
      <c r="BJ430" s="647"/>
      <c r="BK430" s="647"/>
      <c r="BL430" s="647"/>
      <c r="BM430" s="647"/>
      <c r="BN430" s="647"/>
      <c r="BO430" s="647"/>
      <c r="BP430" s="647"/>
      <c r="BQ430" s="647"/>
      <c r="BR430" s="647"/>
      <c r="BS430" s="647"/>
      <c r="BT430" s="647"/>
      <c r="BU430" s="647"/>
      <c r="BV430" s="647"/>
      <c r="BW430" s="647"/>
      <c r="BX430" s="647"/>
      <c r="BY430" s="647"/>
      <c r="BZ430" s="647"/>
      <c r="CA430" s="647"/>
      <c r="CB430" s="647"/>
      <c r="CC430" s="647"/>
      <c r="CD430" s="647"/>
      <c r="CE430" s="647"/>
      <c r="CF430" s="647"/>
      <c r="CG430" s="647"/>
      <c r="CH430" s="647"/>
      <c r="CI430" s="647"/>
      <c r="CJ430" s="647"/>
      <c r="CK430" s="647"/>
      <c r="CL430" s="647"/>
      <c r="CM430" s="647"/>
      <c r="CN430" s="647"/>
    </row>
    <row r="431" spans="1:92" ht="24">
      <c r="A431" s="647"/>
      <c r="B431" s="647"/>
      <c r="C431" s="686" t="s">
        <v>1318</v>
      </c>
      <c r="D431" s="687">
        <v>0</v>
      </c>
      <c r="E431" s="687">
        <v>0</v>
      </c>
      <c r="F431" s="647"/>
      <c r="G431" s="647"/>
      <c r="H431" s="647"/>
      <c r="I431" s="647"/>
      <c r="J431" s="647"/>
      <c r="K431" s="647"/>
      <c r="L431" s="647"/>
      <c r="M431" s="647"/>
      <c r="N431" s="647"/>
      <c r="O431" s="647"/>
      <c r="P431" s="647"/>
      <c r="Q431" s="647"/>
      <c r="R431" s="647"/>
      <c r="S431" s="647"/>
      <c r="T431" s="647"/>
      <c r="U431" s="647"/>
      <c r="V431" s="647"/>
      <c r="W431" s="647"/>
      <c r="X431" s="647"/>
      <c r="Y431" s="647"/>
      <c r="Z431" s="647"/>
      <c r="AA431" s="647"/>
      <c r="AB431" s="647"/>
      <c r="AC431" s="647"/>
      <c r="AD431" s="647"/>
      <c r="AE431" s="647"/>
      <c r="AF431" s="647"/>
      <c r="AG431" s="647"/>
      <c r="AH431" s="647"/>
      <c r="AI431" s="647"/>
      <c r="AJ431" s="647"/>
      <c r="AK431" s="647"/>
      <c r="AL431" s="647"/>
      <c r="AM431" s="647"/>
      <c r="AN431" s="647"/>
      <c r="AO431" s="647"/>
      <c r="AP431" s="647"/>
      <c r="AQ431" s="647"/>
      <c r="AR431" s="647"/>
      <c r="AS431" s="647"/>
      <c r="AT431" s="647"/>
      <c r="AU431" s="647"/>
      <c r="AV431" s="647"/>
      <c r="AW431" s="647"/>
      <c r="AX431" s="647"/>
      <c r="AY431" s="647"/>
      <c r="AZ431" s="647"/>
      <c r="BA431" s="647"/>
      <c r="BB431" s="647"/>
      <c r="BC431" s="647"/>
      <c r="BD431" s="647"/>
      <c r="BE431" s="647"/>
      <c r="BF431" s="647"/>
      <c r="BG431" s="647"/>
      <c r="BH431" s="647"/>
      <c r="BI431" s="647"/>
      <c r="BJ431" s="647"/>
      <c r="BK431" s="647"/>
      <c r="BL431" s="647"/>
      <c r="BM431" s="647"/>
      <c r="BN431" s="647"/>
      <c r="BO431" s="647"/>
      <c r="BP431" s="647"/>
      <c r="BQ431" s="647"/>
      <c r="BR431" s="647"/>
      <c r="BS431" s="647"/>
      <c r="BT431" s="647"/>
      <c r="BU431" s="647"/>
      <c r="BV431" s="647"/>
      <c r="BW431" s="647"/>
      <c r="BX431" s="647"/>
      <c r="BY431" s="647"/>
      <c r="BZ431" s="647"/>
      <c r="CA431" s="647"/>
      <c r="CB431" s="647"/>
      <c r="CC431" s="647"/>
      <c r="CD431" s="647"/>
      <c r="CE431" s="647"/>
      <c r="CF431" s="647"/>
      <c r="CG431" s="647"/>
      <c r="CH431" s="647"/>
      <c r="CI431" s="647"/>
      <c r="CJ431" s="647"/>
      <c r="CK431" s="647"/>
      <c r="CL431" s="647"/>
      <c r="CM431" s="647"/>
      <c r="CN431" s="647"/>
    </row>
    <row r="432" spans="1:92">
      <c r="A432" s="647"/>
      <c r="B432" s="647"/>
      <c r="C432" s="686" t="s">
        <v>1319</v>
      </c>
      <c r="D432" s="687">
        <v>0</v>
      </c>
      <c r="E432" s="687">
        <v>7200000</v>
      </c>
      <c r="F432" s="647"/>
      <c r="G432" s="647"/>
      <c r="H432" s="647"/>
      <c r="I432" s="647"/>
      <c r="J432" s="647"/>
      <c r="K432" s="647"/>
      <c r="L432" s="647"/>
      <c r="M432" s="647"/>
      <c r="N432" s="647"/>
      <c r="O432" s="647"/>
      <c r="P432" s="647"/>
      <c r="Q432" s="647"/>
      <c r="R432" s="647"/>
      <c r="S432" s="647"/>
      <c r="T432" s="647"/>
      <c r="U432" s="647"/>
      <c r="V432" s="647"/>
      <c r="W432" s="647"/>
      <c r="X432" s="647"/>
      <c r="Y432" s="647"/>
      <c r="Z432" s="647"/>
      <c r="AA432" s="647"/>
      <c r="AB432" s="647"/>
      <c r="AC432" s="647"/>
      <c r="AD432" s="647"/>
      <c r="AE432" s="647"/>
      <c r="AF432" s="647"/>
      <c r="AG432" s="647"/>
      <c r="AH432" s="647"/>
      <c r="AI432" s="647"/>
      <c r="AJ432" s="647"/>
      <c r="AK432" s="647"/>
      <c r="AL432" s="647"/>
      <c r="AM432" s="647"/>
      <c r="AN432" s="647"/>
      <c r="AO432" s="647"/>
      <c r="AP432" s="647"/>
      <c r="AQ432" s="647"/>
      <c r="AR432" s="647"/>
      <c r="AS432" s="647"/>
      <c r="AT432" s="647"/>
      <c r="AU432" s="647"/>
      <c r="AV432" s="647"/>
      <c r="AW432" s="647"/>
      <c r="AX432" s="647"/>
      <c r="AY432" s="647"/>
      <c r="AZ432" s="647"/>
      <c r="BA432" s="647"/>
      <c r="BB432" s="647"/>
      <c r="BC432" s="647"/>
      <c r="BD432" s="647"/>
      <c r="BE432" s="647"/>
      <c r="BF432" s="647"/>
      <c r="BG432" s="647"/>
      <c r="BH432" s="647"/>
      <c r="BI432" s="647"/>
      <c r="BJ432" s="647"/>
      <c r="BK432" s="647"/>
      <c r="BL432" s="647"/>
      <c r="BM432" s="647"/>
      <c r="BN432" s="647"/>
      <c r="BO432" s="647"/>
      <c r="BP432" s="647"/>
      <c r="BQ432" s="647"/>
      <c r="BR432" s="647"/>
      <c r="BS432" s="647"/>
      <c r="BT432" s="647"/>
      <c r="BU432" s="647"/>
      <c r="BV432" s="647"/>
      <c r="BW432" s="647"/>
      <c r="BX432" s="647"/>
      <c r="BY432" s="647"/>
      <c r="BZ432" s="647"/>
      <c r="CA432" s="647"/>
      <c r="CB432" s="647"/>
      <c r="CC432" s="647"/>
      <c r="CD432" s="647"/>
      <c r="CE432" s="647"/>
      <c r="CF432" s="647"/>
      <c r="CG432" s="647"/>
      <c r="CH432" s="647"/>
      <c r="CI432" s="647"/>
      <c r="CJ432" s="647"/>
      <c r="CK432" s="647"/>
      <c r="CL432" s="647"/>
      <c r="CM432" s="647"/>
      <c r="CN432" s="647"/>
    </row>
    <row r="433" spans="1:92" ht="24">
      <c r="A433" s="647"/>
      <c r="B433" s="647"/>
      <c r="C433" s="686" t="s">
        <v>1320</v>
      </c>
      <c r="D433" s="687">
        <v>0</v>
      </c>
      <c r="E433" s="687">
        <v>0</v>
      </c>
      <c r="F433" s="647"/>
      <c r="G433" s="647"/>
      <c r="H433" s="647"/>
      <c r="I433" s="647"/>
      <c r="J433" s="647"/>
      <c r="K433" s="647"/>
      <c r="L433" s="647"/>
      <c r="M433" s="647"/>
      <c r="N433" s="647"/>
      <c r="O433" s="647"/>
      <c r="P433" s="647"/>
      <c r="Q433" s="647"/>
      <c r="R433" s="647"/>
      <c r="S433" s="647"/>
      <c r="T433" s="647"/>
      <c r="U433" s="647"/>
      <c r="V433" s="647"/>
      <c r="W433" s="647"/>
      <c r="X433" s="647"/>
      <c r="Y433" s="647"/>
      <c r="Z433" s="647"/>
      <c r="AA433" s="647"/>
      <c r="AB433" s="647"/>
      <c r="AC433" s="647"/>
      <c r="AD433" s="647"/>
      <c r="AE433" s="647"/>
      <c r="AF433" s="647"/>
      <c r="AG433" s="647"/>
      <c r="AH433" s="647"/>
      <c r="AI433" s="647"/>
      <c r="AJ433" s="647"/>
      <c r="AK433" s="647"/>
      <c r="AL433" s="647"/>
      <c r="AM433" s="647"/>
      <c r="AN433" s="647"/>
      <c r="AO433" s="647"/>
      <c r="AP433" s="647"/>
      <c r="AQ433" s="647"/>
      <c r="AR433" s="647"/>
      <c r="AS433" s="647"/>
      <c r="AT433" s="647"/>
      <c r="AU433" s="647"/>
      <c r="AV433" s="647"/>
      <c r="AW433" s="647"/>
      <c r="AX433" s="647"/>
      <c r="AY433" s="647"/>
      <c r="AZ433" s="647"/>
      <c r="BA433" s="647"/>
      <c r="BB433" s="647"/>
      <c r="BC433" s="647"/>
      <c r="BD433" s="647"/>
      <c r="BE433" s="647"/>
      <c r="BF433" s="647"/>
      <c r="BG433" s="647"/>
      <c r="BH433" s="647"/>
      <c r="BI433" s="647"/>
      <c r="BJ433" s="647"/>
      <c r="BK433" s="647"/>
      <c r="BL433" s="647"/>
      <c r="BM433" s="647"/>
      <c r="BN433" s="647"/>
      <c r="BO433" s="647"/>
      <c r="BP433" s="647"/>
      <c r="BQ433" s="647"/>
      <c r="BR433" s="647"/>
      <c r="BS433" s="647"/>
      <c r="BT433" s="647"/>
      <c r="BU433" s="647"/>
      <c r="BV433" s="647"/>
      <c r="BW433" s="647"/>
      <c r="BX433" s="647"/>
      <c r="BY433" s="647"/>
      <c r="BZ433" s="647"/>
      <c r="CA433" s="647"/>
      <c r="CB433" s="647"/>
      <c r="CC433" s="647"/>
      <c r="CD433" s="647"/>
      <c r="CE433" s="647"/>
      <c r="CF433" s="647"/>
      <c r="CG433" s="647"/>
      <c r="CH433" s="647"/>
      <c r="CI433" s="647"/>
      <c r="CJ433" s="647"/>
      <c r="CK433" s="647"/>
      <c r="CL433" s="647"/>
      <c r="CM433" s="647"/>
      <c r="CN433" s="647"/>
    </row>
    <row r="434" spans="1:92" ht="24">
      <c r="A434" s="647"/>
      <c r="B434" s="647"/>
      <c r="C434" s="686" t="s">
        <v>1321</v>
      </c>
      <c r="D434" s="687">
        <v>0</v>
      </c>
      <c r="E434" s="687">
        <v>0</v>
      </c>
      <c r="F434" s="647"/>
      <c r="G434" s="647"/>
      <c r="H434" s="647"/>
      <c r="I434" s="647"/>
      <c r="J434" s="647"/>
      <c r="K434" s="647"/>
      <c r="L434" s="647"/>
      <c r="M434" s="647"/>
      <c r="N434" s="647"/>
      <c r="O434" s="647"/>
      <c r="P434" s="647"/>
      <c r="Q434" s="647"/>
      <c r="R434" s="647"/>
      <c r="S434" s="647"/>
      <c r="T434" s="647"/>
      <c r="U434" s="647"/>
      <c r="V434" s="647"/>
      <c r="W434" s="647"/>
      <c r="X434" s="647"/>
      <c r="Y434" s="647"/>
      <c r="Z434" s="647"/>
      <c r="AA434" s="647"/>
      <c r="AB434" s="647"/>
      <c r="AC434" s="647"/>
      <c r="AD434" s="647"/>
      <c r="AE434" s="647"/>
      <c r="AF434" s="647"/>
      <c r="AG434" s="647"/>
      <c r="AH434" s="647"/>
      <c r="AI434" s="647"/>
      <c r="AJ434" s="647"/>
      <c r="AK434" s="647"/>
      <c r="AL434" s="647"/>
      <c r="AM434" s="647"/>
      <c r="AN434" s="647"/>
      <c r="AO434" s="647"/>
      <c r="AP434" s="647"/>
      <c r="AQ434" s="647"/>
      <c r="AR434" s="647"/>
      <c r="AS434" s="647"/>
      <c r="AT434" s="647"/>
      <c r="AU434" s="647"/>
      <c r="AV434" s="647"/>
      <c r="AW434" s="647"/>
      <c r="AX434" s="647"/>
      <c r="AY434" s="647"/>
      <c r="AZ434" s="647"/>
      <c r="BA434" s="647"/>
      <c r="BB434" s="647"/>
      <c r="BC434" s="647"/>
      <c r="BD434" s="647"/>
      <c r="BE434" s="647"/>
      <c r="BF434" s="647"/>
      <c r="BG434" s="647"/>
      <c r="BH434" s="647"/>
      <c r="BI434" s="647"/>
      <c r="BJ434" s="647"/>
      <c r="BK434" s="647"/>
      <c r="BL434" s="647"/>
      <c r="BM434" s="647"/>
      <c r="BN434" s="647"/>
      <c r="BO434" s="647"/>
      <c r="BP434" s="647"/>
      <c r="BQ434" s="647"/>
      <c r="BR434" s="647"/>
      <c r="BS434" s="647"/>
      <c r="BT434" s="647"/>
      <c r="BU434" s="647"/>
      <c r="BV434" s="647"/>
      <c r="BW434" s="647"/>
      <c r="BX434" s="647"/>
      <c r="BY434" s="647"/>
      <c r="BZ434" s="647"/>
      <c r="CA434" s="647"/>
      <c r="CB434" s="647"/>
      <c r="CC434" s="647"/>
      <c r="CD434" s="647"/>
      <c r="CE434" s="647"/>
      <c r="CF434" s="647"/>
      <c r="CG434" s="647"/>
      <c r="CH434" s="647"/>
      <c r="CI434" s="647"/>
      <c r="CJ434" s="647"/>
      <c r="CK434" s="647"/>
      <c r="CL434" s="647"/>
      <c r="CM434" s="647"/>
      <c r="CN434" s="647"/>
    </row>
    <row r="435" spans="1:92">
      <c r="A435" s="647"/>
      <c r="B435" s="647"/>
      <c r="C435" s="686" t="s">
        <v>1322</v>
      </c>
      <c r="D435" s="687">
        <v>0</v>
      </c>
      <c r="E435" s="687">
        <v>0</v>
      </c>
      <c r="F435" s="647"/>
      <c r="G435" s="647"/>
      <c r="H435" s="647"/>
      <c r="I435" s="647"/>
      <c r="J435" s="647"/>
      <c r="K435" s="647"/>
      <c r="L435" s="647"/>
      <c r="M435" s="647"/>
      <c r="N435" s="647"/>
      <c r="O435" s="647"/>
      <c r="P435" s="647"/>
      <c r="Q435" s="647"/>
      <c r="R435" s="647"/>
      <c r="S435" s="647"/>
      <c r="T435" s="647"/>
      <c r="U435" s="647"/>
      <c r="V435" s="647"/>
      <c r="W435" s="647"/>
      <c r="X435" s="647"/>
      <c r="Y435" s="647"/>
      <c r="Z435" s="647"/>
      <c r="AA435" s="647"/>
      <c r="AB435" s="647"/>
      <c r="AC435" s="647"/>
      <c r="AD435" s="647"/>
      <c r="AE435" s="647"/>
      <c r="AF435" s="647"/>
      <c r="AG435" s="647"/>
      <c r="AH435" s="647"/>
      <c r="AI435" s="647"/>
      <c r="AJ435" s="647"/>
      <c r="AK435" s="647"/>
      <c r="AL435" s="647"/>
      <c r="AM435" s="647"/>
      <c r="AN435" s="647"/>
      <c r="AO435" s="647"/>
      <c r="AP435" s="647"/>
      <c r="AQ435" s="647"/>
      <c r="AR435" s="647"/>
      <c r="AS435" s="647"/>
      <c r="AT435" s="647"/>
      <c r="AU435" s="647"/>
      <c r="AV435" s="647"/>
      <c r="AW435" s="647"/>
      <c r="AX435" s="647"/>
      <c r="AY435" s="647"/>
      <c r="AZ435" s="647"/>
      <c r="BA435" s="647"/>
      <c r="BB435" s="647"/>
      <c r="BC435" s="647"/>
      <c r="BD435" s="647"/>
      <c r="BE435" s="647"/>
      <c r="BF435" s="647"/>
      <c r="BG435" s="647"/>
      <c r="BH435" s="647"/>
      <c r="BI435" s="647"/>
      <c r="BJ435" s="647"/>
      <c r="BK435" s="647"/>
      <c r="BL435" s="647"/>
      <c r="BM435" s="647"/>
      <c r="BN435" s="647"/>
      <c r="BO435" s="647"/>
      <c r="BP435" s="647"/>
      <c r="BQ435" s="647"/>
      <c r="BR435" s="647"/>
      <c r="BS435" s="647"/>
      <c r="BT435" s="647"/>
      <c r="BU435" s="647"/>
      <c r="BV435" s="647"/>
      <c r="BW435" s="647"/>
      <c r="BX435" s="647"/>
      <c r="BY435" s="647"/>
      <c r="BZ435" s="647"/>
      <c r="CA435" s="647"/>
      <c r="CB435" s="647"/>
      <c r="CC435" s="647"/>
      <c r="CD435" s="647"/>
      <c r="CE435" s="647"/>
      <c r="CF435" s="647"/>
      <c r="CG435" s="647"/>
      <c r="CH435" s="647"/>
      <c r="CI435" s="647"/>
      <c r="CJ435" s="647"/>
      <c r="CK435" s="647"/>
      <c r="CL435" s="647"/>
      <c r="CM435" s="647"/>
      <c r="CN435" s="647"/>
    </row>
    <row r="436" spans="1:92">
      <c r="A436" s="647"/>
      <c r="B436" s="647"/>
      <c r="C436" s="686" t="s">
        <v>1323</v>
      </c>
      <c r="D436" s="687">
        <v>0</v>
      </c>
      <c r="E436" s="687">
        <v>30000</v>
      </c>
      <c r="F436" s="647"/>
      <c r="G436" s="647"/>
      <c r="H436" s="647"/>
      <c r="I436" s="647"/>
      <c r="J436" s="647"/>
      <c r="K436" s="647"/>
      <c r="L436" s="647"/>
      <c r="M436" s="647"/>
      <c r="N436" s="647"/>
      <c r="O436" s="647"/>
      <c r="P436" s="647"/>
      <c r="Q436" s="647"/>
      <c r="R436" s="647"/>
      <c r="S436" s="647"/>
      <c r="T436" s="647"/>
      <c r="U436" s="647"/>
      <c r="V436" s="647"/>
      <c r="W436" s="647"/>
      <c r="X436" s="647"/>
      <c r="Y436" s="647"/>
      <c r="Z436" s="647"/>
      <c r="AA436" s="647"/>
      <c r="AB436" s="647"/>
      <c r="AC436" s="647"/>
      <c r="AD436" s="647"/>
      <c r="AE436" s="647"/>
      <c r="AF436" s="647"/>
      <c r="AG436" s="647"/>
      <c r="AH436" s="647"/>
      <c r="AI436" s="647"/>
      <c r="AJ436" s="647"/>
      <c r="AK436" s="647"/>
      <c r="AL436" s="647"/>
      <c r="AM436" s="647"/>
      <c r="AN436" s="647"/>
      <c r="AO436" s="647"/>
      <c r="AP436" s="647"/>
      <c r="AQ436" s="647"/>
      <c r="AR436" s="647"/>
      <c r="AS436" s="647"/>
      <c r="AT436" s="647"/>
      <c r="AU436" s="647"/>
      <c r="AV436" s="647"/>
      <c r="AW436" s="647"/>
      <c r="AX436" s="647"/>
      <c r="AY436" s="647"/>
      <c r="AZ436" s="647"/>
      <c r="BA436" s="647"/>
      <c r="BB436" s="647"/>
      <c r="BC436" s="647"/>
      <c r="BD436" s="647"/>
      <c r="BE436" s="647"/>
      <c r="BF436" s="647"/>
      <c r="BG436" s="647"/>
      <c r="BH436" s="647"/>
      <c r="BI436" s="647"/>
      <c r="BJ436" s="647"/>
      <c r="BK436" s="647"/>
      <c r="BL436" s="647"/>
      <c r="BM436" s="647"/>
      <c r="BN436" s="647"/>
      <c r="BO436" s="647"/>
      <c r="BP436" s="647"/>
      <c r="BQ436" s="647"/>
      <c r="BR436" s="647"/>
      <c r="BS436" s="647"/>
      <c r="BT436" s="647"/>
      <c r="BU436" s="647"/>
      <c r="BV436" s="647"/>
      <c r="BW436" s="647"/>
      <c r="BX436" s="647"/>
      <c r="BY436" s="647"/>
      <c r="BZ436" s="647"/>
      <c r="CA436" s="647"/>
      <c r="CB436" s="647"/>
      <c r="CC436" s="647"/>
      <c r="CD436" s="647"/>
      <c r="CE436" s="647"/>
      <c r="CF436" s="647"/>
      <c r="CG436" s="647"/>
      <c r="CH436" s="647"/>
      <c r="CI436" s="647"/>
      <c r="CJ436" s="647"/>
      <c r="CK436" s="647"/>
      <c r="CL436" s="647"/>
      <c r="CM436" s="647"/>
      <c r="CN436" s="647"/>
    </row>
    <row r="437" spans="1:92" ht="24">
      <c r="A437" s="647"/>
      <c r="B437" s="647"/>
      <c r="C437" s="686" t="s">
        <v>1324</v>
      </c>
      <c r="D437" s="687">
        <v>0</v>
      </c>
      <c r="E437" s="687">
        <v>0</v>
      </c>
      <c r="F437" s="647"/>
      <c r="G437" s="647"/>
      <c r="H437" s="647"/>
      <c r="I437" s="647"/>
      <c r="J437" s="647"/>
      <c r="K437" s="647"/>
      <c r="L437" s="647"/>
      <c r="M437" s="647"/>
      <c r="N437" s="647"/>
      <c r="O437" s="647"/>
      <c r="P437" s="647"/>
      <c r="Q437" s="647"/>
      <c r="R437" s="647"/>
      <c r="S437" s="647"/>
      <c r="T437" s="647"/>
      <c r="U437" s="647"/>
      <c r="V437" s="647"/>
      <c r="W437" s="647"/>
      <c r="X437" s="647"/>
      <c r="Y437" s="647"/>
      <c r="Z437" s="647"/>
      <c r="AA437" s="647"/>
      <c r="AB437" s="647"/>
      <c r="AC437" s="647"/>
      <c r="AD437" s="647"/>
      <c r="AE437" s="647"/>
      <c r="AF437" s="647"/>
      <c r="AG437" s="647"/>
      <c r="AH437" s="647"/>
      <c r="AI437" s="647"/>
      <c r="AJ437" s="647"/>
      <c r="AK437" s="647"/>
      <c r="AL437" s="647"/>
      <c r="AM437" s="647"/>
      <c r="AN437" s="647"/>
      <c r="AO437" s="647"/>
      <c r="AP437" s="647"/>
      <c r="AQ437" s="647"/>
      <c r="AR437" s="647"/>
      <c r="AS437" s="647"/>
      <c r="AT437" s="647"/>
      <c r="AU437" s="647"/>
      <c r="AV437" s="647"/>
      <c r="AW437" s="647"/>
      <c r="AX437" s="647"/>
      <c r="AY437" s="647"/>
      <c r="AZ437" s="647"/>
      <c r="BA437" s="647"/>
      <c r="BB437" s="647"/>
      <c r="BC437" s="647"/>
      <c r="BD437" s="647"/>
      <c r="BE437" s="647"/>
      <c r="BF437" s="647"/>
      <c r="BG437" s="647"/>
      <c r="BH437" s="647"/>
      <c r="BI437" s="647"/>
      <c r="BJ437" s="647"/>
      <c r="BK437" s="647"/>
      <c r="BL437" s="647"/>
      <c r="BM437" s="647"/>
      <c r="BN437" s="647"/>
      <c r="BO437" s="647"/>
      <c r="BP437" s="647"/>
      <c r="BQ437" s="647"/>
      <c r="BR437" s="647"/>
      <c r="BS437" s="647"/>
      <c r="BT437" s="647"/>
      <c r="BU437" s="647"/>
      <c r="BV437" s="647"/>
      <c r="BW437" s="647"/>
      <c r="BX437" s="647"/>
      <c r="BY437" s="647"/>
      <c r="BZ437" s="647"/>
      <c r="CA437" s="647"/>
      <c r="CB437" s="647"/>
      <c r="CC437" s="647"/>
      <c r="CD437" s="647"/>
      <c r="CE437" s="647"/>
      <c r="CF437" s="647"/>
      <c r="CG437" s="647"/>
      <c r="CH437" s="647"/>
      <c r="CI437" s="647"/>
      <c r="CJ437" s="647"/>
      <c r="CK437" s="647"/>
      <c r="CL437" s="647"/>
      <c r="CM437" s="647"/>
      <c r="CN437" s="647"/>
    </row>
    <row r="438" spans="1:92" ht="24">
      <c r="A438" s="647"/>
      <c r="B438" s="647"/>
      <c r="C438" s="686" t="s">
        <v>1325</v>
      </c>
      <c r="D438" s="687">
        <v>0</v>
      </c>
      <c r="E438" s="687">
        <v>14657549.09</v>
      </c>
      <c r="F438" s="647"/>
      <c r="G438" s="647"/>
      <c r="H438" s="647"/>
      <c r="I438" s="647"/>
      <c r="J438" s="647"/>
      <c r="K438" s="647"/>
      <c r="L438" s="647"/>
      <c r="M438" s="647"/>
      <c r="N438" s="647"/>
      <c r="O438" s="647"/>
      <c r="P438" s="647"/>
      <c r="Q438" s="647"/>
      <c r="R438" s="647"/>
      <c r="S438" s="647"/>
      <c r="T438" s="647"/>
      <c r="U438" s="647"/>
      <c r="V438" s="647"/>
      <c r="W438" s="647"/>
      <c r="X438" s="647"/>
      <c r="Y438" s="647"/>
      <c r="Z438" s="647"/>
      <c r="AA438" s="647"/>
      <c r="AB438" s="647"/>
      <c r="AC438" s="647"/>
      <c r="AD438" s="647"/>
      <c r="AE438" s="647"/>
      <c r="AF438" s="647"/>
      <c r="AG438" s="647"/>
      <c r="AH438" s="647"/>
      <c r="AI438" s="647"/>
      <c r="AJ438" s="647"/>
      <c r="AK438" s="647"/>
      <c r="AL438" s="647"/>
      <c r="AM438" s="647"/>
      <c r="AN438" s="647"/>
      <c r="AO438" s="647"/>
      <c r="AP438" s="647"/>
      <c r="AQ438" s="647"/>
      <c r="AR438" s="647"/>
      <c r="AS438" s="647"/>
      <c r="AT438" s="647"/>
      <c r="AU438" s="647"/>
      <c r="AV438" s="647"/>
      <c r="AW438" s="647"/>
      <c r="AX438" s="647"/>
      <c r="AY438" s="647"/>
      <c r="AZ438" s="647"/>
      <c r="BA438" s="647"/>
      <c r="BB438" s="647"/>
      <c r="BC438" s="647"/>
      <c r="BD438" s="647"/>
      <c r="BE438" s="647"/>
      <c r="BF438" s="647"/>
      <c r="BG438" s="647"/>
      <c r="BH438" s="647"/>
      <c r="BI438" s="647"/>
      <c r="BJ438" s="647"/>
      <c r="BK438" s="647"/>
      <c r="BL438" s="647"/>
      <c r="BM438" s="647"/>
      <c r="BN438" s="647"/>
      <c r="BO438" s="647"/>
      <c r="BP438" s="647"/>
      <c r="BQ438" s="647"/>
      <c r="BR438" s="647"/>
      <c r="BS438" s="647"/>
      <c r="BT438" s="647"/>
      <c r="BU438" s="647"/>
      <c r="BV438" s="647"/>
      <c r="BW438" s="647"/>
      <c r="BX438" s="647"/>
      <c r="BY438" s="647"/>
      <c r="BZ438" s="647"/>
      <c r="CA438" s="647"/>
      <c r="CB438" s="647"/>
      <c r="CC438" s="647"/>
      <c r="CD438" s="647"/>
      <c r="CE438" s="647"/>
      <c r="CF438" s="647"/>
      <c r="CG438" s="647"/>
      <c r="CH438" s="647"/>
      <c r="CI438" s="647"/>
      <c r="CJ438" s="647"/>
      <c r="CK438" s="647"/>
      <c r="CL438" s="647"/>
      <c r="CM438" s="647"/>
      <c r="CN438" s="647"/>
    </row>
    <row r="439" spans="1:92" ht="24">
      <c r="A439" s="647"/>
      <c r="B439" s="647"/>
      <c r="C439" s="686" t="s">
        <v>1326</v>
      </c>
      <c r="D439" s="687">
        <v>0</v>
      </c>
      <c r="E439" s="687">
        <v>0</v>
      </c>
      <c r="F439" s="647"/>
      <c r="G439" s="647"/>
      <c r="H439" s="647"/>
      <c r="I439" s="647"/>
      <c r="J439" s="647"/>
      <c r="K439" s="647"/>
      <c r="L439" s="647"/>
      <c r="M439" s="647"/>
      <c r="N439" s="647"/>
      <c r="O439" s="647"/>
      <c r="P439" s="647"/>
      <c r="Q439" s="647"/>
      <c r="R439" s="647"/>
      <c r="S439" s="647"/>
      <c r="T439" s="647"/>
      <c r="U439" s="647"/>
      <c r="V439" s="647"/>
      <c r="W439" s="647"/>
      <c r="X439" s="647"/>
      <c r="Y439" s="647"/>
      <c r="Z439" s="647"/>
      <c r="AA439" s="647"/>
      <c r="AB439" s="647"/>
      <c r="AC439" s="647"/>
      <c r="AD439" s="647"/>
      <c r="AE439" s="647"/>
      <c r="AF439" s="647"/>
      <c r="AG439" s="647"/>
      <c r="AH439" s="647"/>
      <c r="AI439" s="647"/>
      <c r="AJ439" s="647"/>
      <c r="AK439" s="647"/>
      <c r="AL439" s="647"/>
      <c r="AM439" s="647"/>
      <c r="AN439" s="647"/>
      <c r="AO439" s="647"/>
      <c r="AP439" s="647"/>
      <c r="AQ439" s="647"/>
      <c r="AR439" s="647"/>
      <c r="AS439" s="647"/>
      <c r="AT439" s="647"/>
      <c r="AU439" s="647"/>
      <c r="AV439" s="647"/>
      <c r="AW439" s="647"/>
      <c r="AX439" s="647"/>
      <c r="AY439" s="647"/>
      <c r="AZ439" s="647"/>
      <c r="BA439" s="647"/>
      <c r="BB439" s="647"/>
      <c r="BC439" s="647"/>
      <c r="BD439" s="647"/>
      <c r="BE439" s="647"/>
      <c r="BF439" s="647"/>
      <c r="BG439" s="647"/>
      <c r="BH439" s="647"/>
      <c r="BI439" s="647"/>
      <c r="BJ439" s="647"/>
      <c r="BK439" s="647"/>
      <c r="BL439" s="647"/>
      <c r="BM439" s="647"/>
      <c r="BN439" s="647"/>
      <c r="BO439" s="647"/>
      <c r="BP439" s="647"/>
      <c r="BQ439" s="647"/>
      <c r="BR439" s="647"/>
      <c r="BS439" s="647"/>
      <c r="BT439" s="647"/>
      <c r="BU439" s="647"/>
      <c r="BV439" s="647"/>
      <c r="BW439" s="647"/>
      <c r="BX439" s="647"/>
      <c r="BY439" s="647"/>
      <c r="BZ439" s="647"/>
      <c r="CA439" s="647"/>
      <c r="CB439" s="647"/>
      <c r="CC439" s="647"/>
      <c r="CD439" s="647"/>
      <c r="CE439" s="647"/>
      <c r="CF439" s="647"/>
      <c r="CG439" s="647"/>
      <c r="CH439" s="647"/>
      <c r="CI439" s="647"/>
      <c r="CJ439" s="647"/>
      <c r="CK439" s="647"/>
      <c r="CL439" s="647"/>
      <c r="CM439" s="647"/>
      <c r="CN439" s="647"/>
    </row>
    <row r="440" spans="1:92" ht="24">
      <c r="A440" s="647"/>
      <c r="B440" s="647"/>
      <c r="C440" s="686" t="s">
        <v>1338</v>
      </c>
      <c r="D440" s="687">
        <v>0</v>
      </c>
      <c r="E440" s="687">
        <v>0</v>
      </c>
      <c r="F440" s="647"/>
      <c r="G440" s="647"/>
      <c r="H440" s="647"/>
      <c r="I440" s="731" t="s">
        <v>1334</v>
      </c>
      <c r="J440" s="731"/>
      <c r="K440" s="731"/>
      <c r="L440" s="731"/>
      <c r="M440" s="647"/>
      <c r="N440" s="647"/>
      <c r="O440" s="647"/>
      <c r="P440" s="647"/>
      <c r="Q440" s="647"/>
      <c r="R440" s="647"/>
      <c r="S440" s="647"/>
      <c r="T440" s="647"/>
      <c r="U440" s="647"/>
      <c r="V440" s="647"/>
      <c r="W440" s="647"/>
      <c r="X440" s="647"/>
      <c r="Y440" s="647"/>
      <c r="Z440" s="647"/>
      <c r="AA440" s="647"/>
      <c r="AB440" s="647"/>
      <c r="AC440" s="647"/>
      <c r="AD440" s="647"/>
      <c r="AE440" s="647"/>
      <c r="AF440" s="647"/>
      <c r="AG440" s="647"/>
      <c r="AH440" s="647"/>
      <c r="AI440" s="647"/>
      <c r="AJ440" s="647"/>
      <c r="AK440" s="647"/>
      <c r="AL440" s="647"/>
      <c r="AM440" s="647"/>
      <c r="AN440" s="647"/>
      <c r="AO440" s="647"/>
      <c r="AP440" s="647"/>
      <c r="AQ440" s="647"/>
      <c r="AR440" s="647"/>
      <c r="AS440" s="647"/>
      <c r="AT440" s="647"/>
      <c r="AU440" s="647"/>
      <c r="AV440" s="647"/>
      <c r="AW440" s="647"/>
      <c r="AX440" s="647"/>
      <c r="AY440" s="647"/>
      <c r="AZ440" s="647"/>
      <c r="BA440" s="647"/>
      <c r="BB440" s="647"/>
      <c r="BC440" s="647"/>
      <c r="BD440" s="647"/>
      <c r="BE440" s="647"/>
      <c r="BF440" s="647"/>
      <c r="BG440" s="647"/>
      <c r="BH440" s="647"/>
      <c r="BI440" s="647"/>
      <c r="BJ440" s="647"/>
      <c r="BK440" s="647"/>
      <c r="BL440" s="647"/>
      <c r="BM440" s="647"/>
      <c r="BN440" s="647"/>
      <c r="BO440" s="647"/>
      <c r="BP440" s="647"/>
      <c r="BQ440" s="647"/>
      <c r="BR440" s="647"/>
      <c r="BS440" s="647"/>
      <c r="BT440" s="647"/>
      <c r="BU440" s="647"/>
      <c r="BV440" s="647"/>
      <c r="BW440" s="647"/>
      <c r="BX440" s="647"/>
      <c r="BY440" s="647"/>
      <c r="BZ440" s="647"/>
      <c r="CA440" s="647"/>
      <c r="CB440" s="647"/>
      <c r="CC440" s="647"/>
      <c r="CD440" s="647"/>
      <c r="CE440" s="647"/>
      <c r="CF440" s="647"/>
      <c r="CG440" s="647"/>
      <c r="CH440" s="647"/>
      <c r="CI440" s="647"/>
      <c r="CJ440" s="647"/>
      <c r="CK440" s="647"/>
      <c r="CL440" s="647"/>
      <c r="CM440" s="647"/>
      <c r="CN440" s="647"/>
    </row>
    <row r="441" spans="1:92">
      <c r="A441" s="647"/>
      <c r="B441" s="647"/>
      <c r="C441" s="686" t="s">
        <v>1339</v>
      </c>
      <c r="D441" s="687">
        <v>0</v>
      </c>
      <c r="E441" s="687">
        <v>0</v>
      </c>
      <c r="F441" s="688"/>
      <c r="G441" s="647"/>
      <c r="H441" s="647"/>
      <c r="I441" s="647"/>
      <c r="J441" s="647"/>
      <c r="K441" s="647"/>
      <c r="L441" s="647"/>
      <c r="M441" s="647"/>
      <c r="N441" s="647"/>
      <c r="O441" s="647"/>
      <c r="P441" s="647"/>
      <c r="Q441" s="647"/>
      <c r="R441" s="647"/>
      <c r="S441" s="647"/>
      <c r="T441" s="647"/>
      <c r="U441" s="647"/>
      <c r="V441" s="647"/>
      <c r="W441" s="647"/>
      <c r="X441" s="647"/>
      <c r="Y441" s="647"/>
      <c r="Z441" s="647"/>
      <c r="AA441" s="647"/>
      <c r="AB441" s="647"/>
      <c r="AC441" s="647"/>
      <c r="AD441" s="647"/>
      <c r="AE441" s="647"/>
      <c r="AF441" s="647"/>
      <c r="AG441" s="647"/>
      <c r="AH441" s="647"/>
      <c r="AI441" s="647"/>
      <c r="AJ441" s="647"/>
      <c r="AK441" s="647"/>
      <c r="AL441" s="647"/>
      <c r="AM441" s="647"/>
      <c r="AN441" s="647"/>
      <c r="AO441" s="647"/>
      <c r="AP441" s="647"/>
      <c r="AQ441" s="647"/>
      <c r="AR441" s="647"/>
      <c r="AS441" s="647"/>
      <c r="AT441" s="647"/>
      <c r="AU441" s="647"/>
      <c r="AV441" s="647"/>
      <c r="AW441" s="647"/>
      <c r="AX441" s="647"/>
      <c r="AY441" s="647"/>
      <c r="AZ441" s="647"/>
      <c r="BA441" s="647"/>
      <c r="BB441" s="647"/>
      <c r="BC441" s="647"/>
      <c r="BD441" s="647"/>
      <c r="BE441" s="647"/>
      <c r="BF441" s="647"/>
      <c r="BG441" s="647"/>
      <c r="BH441" s="647"/>
      <c r="BI441" s="647"/>
      <c r="BJ441" s="647"/>
      <c r="BK441" s="647"/>
      <c r="BL441" s="647"/>
      <c r="BM441" s="647"/>
      <c r="BN441" s="647"/>
      <c r="BO441" s="647"/>
      <c r="BP441" s="647"/>
      <c r="BQ441" s="647"/>
      <c r="BR441" s="647"/>
      <c r="BS441" s="647"/>
      <c r="BT441" s="647"/>
      <c r="BU441" s="647"/>
      <c r="BV441" s="647"/>
      <c r="BW441" s="647"/>
      <c r="BX441" s="647"/>
      <c r="BY441" s="647"/>
      <c r="BZ441" s="647"/>
      <c r="CA441" s="647"/>
      <c r="CB441" s="647"/>
      <c r="CC441" s="647"/>
      <c r="CD441" s="647"/>
      <c r="CE441" s="647"/>
      <c r="CF441" s="647"/>
      <c r="CG441" s="647"/>
      <c r="CH441" s="647"/>
      <c r="CI441" s="647"/>
      <c r="CJ441" s="647"/>
      <c r="CK441" s="647"/>
      <c r="CL441" s="647"/>
      <c r="CM441" s="647"/>
      <c r="CN441" s="647"/>
    </row>
    <row r="442" spans="1:92">
      <c r="A442" s="647"/>
      <c r="B442" s="647"/>
      <c r="C442" s="686" t="s">
        <v>95</v>
      </c>
      <c r="D442" s="687">
        <v>0</v>
      </c>
      <c r="E442" s="687">
        <v>72500945.680000007</v>
      </c>
      <c r="F442" s="647"/>
      <c r="G442" s="647"/>
      <c r="H442" s="647"/>
      <c r="I442" s="647"/>
      <c r="J442" s="647"/>
      <c r="K442" s="647"/>
      <c r="L442" s="647"/>
      <c r="M442" s="647"/>
      <c r="N442" s="647"/>
      <c r="O442" s="647"/>
      <c r="P442" s="647"/>
      <c r="Q442" s="647"/>
      <c r="R442" s="647"/>
      <c r="S442" s="647"/>
      <c r="T442" s="647"/>
      <c r="U442" s="647"/>
      <c r="V442" s="647"/>
      <c r="W442" s="647"/>
      <c r="X442" s="647"/>
      <c r="Y442" s="647"/>
      <c r="Z442" s="647"/>
      <c r="AA442" s="647"/>
      <c r="AB442" s="647"/>
      <c r="AC442" s="647"/>
      <c r="AD442" s="647"/>
      <c r="AE442" s="647"/>
      <c r="AF442" s="647"/>
      <c r="AG442" s="647"/>
      <c r="AH442" s="647"/>
      <c r="AI442" s="647"/>
      <c r="AJ442" s="647"/>
      <c r="AK442" s="647"/>
      <c r="AL442" s="647"/>
      <c r="AM442" s="647"/>
      <c r="AN442" s="647"/>
      <c r="AO442" s="647"/>
      <c r="AP442" s="647"/>
      <c r="AQ442" s="647"/>
      <c r="AR442" s="647"/>
      <c r="AS442" s="647"/>
      <c r="AT442" s="647"/>
      <c r="AU442" s="647"/>
      <c r="AV442" s="647"/>
      <c r="AW442" s="647"/>
      <c r="AX442" s="647"/>
      <c r="AY442" s="647"/>
      <c r="AZ442" s="647"/>
      <c r="BA442" s="647"/>
      <c r="BB442" s="647"/>
      <c r="BC442" s="647"/>
      <c r="BD442" s="647"/>
      <c r="BE442" s="647"/>
      <c r="BF442" s="647"/>
      <c r="BG442" s="647"/>
      <c r="BH442" s="647"/>
      <c r="BI442" s="647"/>
      <c r="BJ442" s="647"/>
      <c r="BK442" s="647"/>
      <c r="BL442" s="647"/>
      <c r="BM442" s="647"/>
      <c r="BN442" s="647"/>
      <c r="BO442" s="647"/>
      <c r="BP442" s="647"/>
      <c r="BQ442" s="647"/>
      <c r="BR442" s="647"/>
      <c r="BS442" s="647"/>
      <c r="BT442" s="647"/>
      <c r="BU442" s="647"/>
      <c r="BV442" s="647"/>
      <c r="BW442" s="647"/>
      <c r="BX442" s="647"/>
      <c r="BY442" s="647"/>
      <c r="BZ442" s="647"/>
      <c r="CA442" s="647"/>
      <c r="CB442" s="647"/>
      <c r="CC442" s="647"/>
      <c r="CD442" s="647"/>
      <c r="CE442" s="647"/>
      <c r="CF442" s="647"/>
      <c r="CG442" s="647"/>
      <c r="CH442" s="647"/>
      <c r="CI442" s="647"/>
      <c r="CJ442" s="647"/>
      <c r="CK442" s="647"/>
      <c r="CL442" s="647"/>
      <c r="CM442" s="647"/>
      <c r="CN442" s="647"/>
    </row>
    <row r="443" spans="1:92">
      <c r="A443" s="647" t="s">
        <v>1007</v>
      </c>
      <c r="B443" s="647"/>
      <c r="C443" s="647" t="s">
        <v>1007</v>
      </c>
      <c r="D443" s="647" t="s">
        <v>1007</v>
      </c>
      <c r="F443" s="647"/>
      <c r="G443" s="647"/>
      <c r="H443" s="647"/>
      <c r="M443" s="647"/>
      <c r="N443" s="647"/>
      <c r="O443" s="647"/>
      <c r="P443" s="647"/>
      <c r="Q443" s="647"/>
      <c r="R443" s="647"/>
      <c r="S443" s="647"/>
      <c r="T443" s="647"/>
      <c r="U443" s="647"/>
      <c r="V443" s="647"/>
      <c r="W443" s="647"/>
      <c r="X443" s="647"/>
      <c r="Y443" s="647"/>
      <c r="Z443" s="647"/>
      <c r="AA443" s="647"/>
      <c r="AB443" s="647"/>
      <c r="AC443" s="647"/>
      <c r="AD443" s="647"/>
      <c r="AE443" s="647"/>
      <c r="AF443" s="647"/>
      <c r="AG443" s="647"/>
      <c r="AH443" s="647"/>
      <c r="AI443" s="647"/>
      <c r="AJ443" s="647"/>
      <c r="AK443" s="647"/>
      <c r="AL443" s="647"/>
      <c r="AM443" s="647"/>
      <c r="AN443" s="729"/>
      <c r="AO443" s="729"/>
      <c r="AP443" s="729"/>
      <c r="AQ443" s="729"/>
      <c r="AR443" s="729"/>
      <c r="AS443" s="729"/>
      <c r="AT443" s="729"/>
      <c r="AU443" s="729"/>
      <c r="AV443" s="729"/>
      <c r="AW443" s="729"/>
      <c r="AX443" s="729"/>
      <c r="AY443" s="729"/>
      <c r="AZ443" s="729"/>
      <c r="BA443" s="729"/>
      <c r="BB443" s="729"/>
      <c r="BC443" s="729"/>
      <c r="BD443" s="729"/>
      <c r="BE443" s="729"/>
      <c r="BF443" s="729"/>
      <c r="BG443" s="729"/>
      <c r="BH443" s="729"/>
      <c r="BI443" s="729"/>
      <c r="BJ443" s="729"/>
      <c r="BK443" s="729"/>
      <c r="BL443" s="729"/>
      <c r="BM443" s="729"/>
      <c r="BN443" s="729"/>
      <c r="BO443" s="729"/>
      <c r="BP443" s="729"/>
      <c r="BQ443" s="729"/>
      <c r="BR443" s="729"/>
      <c r="BS443" s="729"/>
      <c r="BT443" s="729"/>
      <c r="BU443" s="729"/>
      <c r="BV443" s="729"/>
      <c r="BW443" s="729"/>
      <c r="BX443" s="729"/>
      <c r="BY443" s="729"/>
      <c r="BZ443" s="729"/>
      <c r="CA443" s="729"/>
      <c r="CB443" s="729"/>
      <c r="CC443" s="729"/>
      <c r="CD443" s="729"/>
      <c r="CE443" s="729"/>
      <c r="CF443" s="729"/>
      <c r="CG443" s="729"/>
      <c r="CH443" s="729"/>
      <c r="CI443" s="729"/>
      <c r="CJ443" s="729"/>
      <c r="CK443" s="729"/>
      <c r="CL443" s="729"/>
      <c r="CM443" s="729"/>
      <c r="CN443" s="729"/>
    </row>
    <row r="444" spans="1:92" ht="27.6" customHeight="1">
      <c r="A444" s="647"/>
      <c r="B444" s="647"/>
      <c r="G444" s="647"/>
      <c r="H444" s="647"/>
      <c r="I444" s="730" t="s">
        <v>1333</v>
      </c>
      <c r="J444" s="730"/>
      <c r="K444" s="730"/>
      <c r="L444" s="730"/>
      <c r="M444" s="647"/>
      <c r="N444" s="647"/>
      <c r="O444" s="647"/>
      <c r="P444" s="647"/>
      <c r="Q444" s="647"/>
      <c r="R444" s="647"/>
      <c r="S444" s="647"/>
      <c r="T444" s="647"/>
      <c r="U444" s="647"/>
      <c r="V444" s="647"/>
      <c r="W444" s="647"/>
      <c r="X444" s="647"/>
      <c r="Y444" s="647"/>
      <c r="Z444" s="647"/>
      <c r="AA444" s="647"/>
      <c r="AB444" s="647"/>
      <c r="AC444" s="647"/>
      <c r="AD444" s="647"/>
      <c r="AE444" s="647"/>
      <c r="AF444" s="647"/>
      <c r="AG444" s="647"/>
      <c r="AH444" s="647"/>
      <c r="AI444" s="647"/>
      <c r="AJ444" s="647"/>
      <c r="AK444" s="647"/>
      <c r="AL444" s="647"/>
      <c r="AM444" s="647"/>
      <c r="AN444" s="647"/>
      <c r="AO444" s="647"/>
      <c r="AP444" s="647"/>
      <c r="AQ444" s="647"/>
      <c r="AR444" s="647"/>
      <c r="AS444" s="647"/>
      <c r="AT444" s="647"/>
      <c r="AU444" s="647"/>
      <c r="AV444" s="647"/>
      <c r="AW444" s="647"/>
      <c r="AX444" s="647"/>
      <c r="AY444" s="647"/>
      <c r="AZ444" s="647"/>
      <c r="BA444" s="647"/>
      <c r="BB444" s="647"/>
      <c r="BC444" s="647"/>
      <c r="BD444" s="647"/>
      <c r="BE444" s="647"/>
      <c r="BF444" s="647"/>
      <c r="BG444" s="647"/>
      <c r="BH444" s="647"/>
      <c r="BI444" s="647"/>
      <c r="BJ444" s="647"/>
      <c r="BK444" s="647"/>
      <c r="BL444" s="647"/>
      <c r="BM444" s="647"/>
      <c r="BN444" s="647"/>
      <c r="BO444" s="647"/>
      <c r="BP444" s="647"/>
      <c r="BQ444" s="647"/>
      <c r="BR444" s="647"/>
      <c r="BS444" s="647"/>
      <c r="BT444" s="647"/>
      <c r="BU444" s="647"/>
      <c r="BV444" s="647"/>
      <c r="BW444" s="647"/>
      <c r="BX444" s="647"/>
      <c r="BY444" s="647"/>
      <c r="BZ444" s="647"/>
      <c r="CA444" s="647"/>
      <c r="CB444" s="647"/>
      <c r="CC444" s="647"/>
      <c r="CD444" s="647"/>
      <c r="CE444" s="647"/>
      <c r="CF444" s="647"/>
      <c r="CG444" s="647"/>
      <c r="CH444" s="647"/>
      <c r="CI444" s="647"/>
      <c r="CJ444" s="647"/>
      <c r="CK444" s="647"/>
      <c r="CL444" s="647"/>
      <c r="CM444" s="647"/>
      <c r="CN444" s="647"/>
    </row>
    <row r="445" spans="1:92" ht="29.45" customHeight="1">
      <c r="A445" s="647"/>
      <c r="B445" s="647"/>
      <c r="G445" s="647"/>
      <c r="H445" s="647"/>
      <c r="I445" s="647"/>
      <c r="J445" s="647"/>
      <c r="K445" s="647"/>
      <c r="L445" s="647"/>
      <c r="M445" s="647"/>
      <c r="N445" s="647"/>
      <c r="O445" s="647"/>
      <c r="P445" s="647"/>
      <c r="Q445" s="647"/>
      <c r="R445" s="647"/>
      <c r="S445" s="647"/>
      <c r="T445" s="647"/>
      <c r="U445" s="647"/>
      <c r="V445" s="647"/>
      <c r="W445" s="647"/>
      <c r="X445" s="647"/>
      <c r="Y445" s="647"/>
      <c r="Z445" s="647"/>
      <c r="AA445" s="647"/>
      <c r="AB445" s="647"/>
      <c r="AC445" s="647"/>
      <c r="AD445" s="647"/>
      <c r="AE445" s="647"/>
      <c r="AF445" s="647"/>
      <c r="AG445" s="647"/>
      <c r="AH445" s="647"/>
      <c r="AI445" s="647"/>
      <c r="AJ445" s="647"/>
      <c r="AK445" s="647"/>
      <c r="AL445" s="647"/>
      <c r="AM445" s="647"/>
      <c r="AN445" s="647"/>
      <c r="AO445" s="647"/>
      <c r="AP445" s="647"/>
      <c r="AQ445" s="647"/>
      <c r="AR445" s="647"/>
      <c r="AS445" s="647"/>
      <c r="AT445" s="647"/>
      <c r="AU445" s="647"/>
      <c r="AV445" s="647"/>
      <c r="AW445" s="647"/>
      <c r="AX445" s="647"/>
      <c r="AY445" s="647"/>
      <c r="AZ445" s="647"/>
      <c r="BA445" s="647"/>
      <c r="BB445" s="647"/>
      <c r="BC445" s="647"/>
      <c r="BD445" s="647"/>
      <c r="BE445" s="647"/>
      <c r="BF445" s="647"/>
      <c r="BG445" s="647"/>
      <c r="BH445" s="647"/>
      <c r="BI445" s="647"/>
      <c r="BJ445" s="647"/>
      <c r="BK445" s="647"/>
      <c r="BL445" s="647"/>
      <c r="BM445" s="647"/>
      <c r="BN445" s="647"/>
      <c r="BO445" s="647"/>
      <c r="BP445" s="647"/>
      <c r="BQ445" s="647"/>
      <c r="BR445" s="647"/>
      <c r="BS445" s="647"/>
      <c r="BT445" s="647"/>
      <c r="BU445" s="647"/>
      <c r="BV445" s="647"/>
      <c r="BW445" s="647"/>
      <c r="BX445" s="647"/>
      <c r="BY445" s="647"/>
      <c r="BZ445" s="647"/>
      <c r="CA445" s="647"/>
      <c r="CB445" s="647"/>
      <c r="CC445" s="647"/>
      <c r="CD445" s="647"/>
      <c r="CE445" s="647"/>
      <c r="CF445" s="647"/>
      <c r="CG445" s="647"/>
      <c r="CH445" s="647"/>
      <c r="CI445" s="647"/>
      <c r="CJ445" s="647"/>
      <c r="CK445" s="647"/>
      <c r="CL445" s="647"/>
      <c r="CM445" s="647"/>
      <c r="CN445" s="647"/>
    </row>
  </sheetData>
  <mergeCells count="31">
    <mergeCell ref="I444:L444"/>
    <mergeCell ref="AN355:CN355"/>
    <mergeCell ref="AN363:CN363"/>
    <mergeCell ref="AN381:CN381"/>
    <mergeCell ref="AN415:CN415"/>
    <mergeCell ref="I440:L440"/>
    <mergeCell ref="AN443:CN443"/>
    <mergeCell ref="AN345:CN345"/>
    <mergeCell ref="AN194:CN194"/>
    <mergeCell ref="AN205:CN205"/>
    <mergeCell ref="AN231:CN231"/>
    <mergeCell ref="AN245:CN245"/>
    <mergeCell ref="AN254:CN254"/>
    <mergeCell ref="AN271:CN271"/>
    <mergeCell ref="AN278:CN278"/>
    <mergeCell ref="AN288:CN288"/>
    <mergeCell ref="AN298:CN298"/>
    <mergeCell ref="AN325:CN325"/>
    <mergeCell ref="AN336:CN336"/>
    <mergeCell ref="AN185:CN185"/>
    <mergeCell ref="AN20:CN20"/>
    <mergeCell ref="AN30:CN30"/>
    <mergeCell ref="AN43:CN43"/>
    <mergeCell ref="AN49:CN49"/>
    <mergeCell ref="AN65:CN65"/>
    <mergeCell ref="AN75:CN75"/>
    <mergeCell ref="AN108:CN108"/>
    <mergeCell ref="AN109:CN109"/>
    <mergeCell ref="AN149:CN149"/>
    <mergeCell ref="AN164:CN164"/>
    <mergeCell ref="AN173:CN173"/>
  </mergeCells>
  <pageMargins left="0.44" right="0.17" top="0.17" bottom="0.17" header="0.17" footer="0.17"/>
  <pageSetup paperSize="9" fitToWidth="0" orientation="landscape"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467B-1911-401B-B36C-4BCE3372604F}">
  <dimension ref="A1:V48"/>
  <sheetViews>
    <sheetView workbookViewId="0">
      <pane xSplit="3" ySplit="5" topLeftCell="D18" activePane="bottomRight" state="frozen"/>
      <selection pane="topRight" activeCell="D1" sqref="D1"/>
      <selection pane="bottomLeft" activeCell="A6" sqref="A6"/>
      <selection pane="bottomRight" activeCell="K41" sqref="K41"/>
    </sheetView>
  </sheetViews>
  <sheetFormatPr defaultColWidth="9.140625" defaultRowHeight="12.75"/>
  <cols>
    <col min="1" max="1" width="4.5703125" style="1" customWidth="1"/>
    <col min="2" max="2" width="17.42578125" style="1" customWidth="1"/>
    <col min="3" max="3" width="8.42578125" style="9" bestFit="1" customWidth="1"/>
    <col min="4" max="4" width="7.7109375" style="1" customWidth="1"/>
    <col min="5" max="5" width="10" style="1" customWidth="1"/>
    <col min="6" max="6" width="11.5703125" style="1" customWidth="1"/>
    <col min="7" max="7" width="12.5703125" style="1" customWidth="1"/>
    <col min="8" max="8" width="12.7109375" style="19" customWidth="1"/>
    <col min="9" max="9" width="13" style="19" customWidth="1"/>
    <col min="10" max="10" width="13.42578125" style="19" bestFit="1" customWidth="1"/>
    <col min="11" max="11" width="12.28515625" style="19" customWidth="1"/>
    <col min="12" max="12" width="12.85546875" style="19" customWidth="1"/>
    <col min="13" max="13" width="12.28515625" style="19" customWidth="1"/>
    <col min="14" max="14" width="12.85546875" style="19" bestFit="1" customWidth="1"/>
    <col min="15" max="15" width="12.42578125" style="19" bestFit="1" customWidth="1"/>
    <col min="16" max="16" width="14.7109375" style="19" customWidth="1"/>
    <col min="17" max="17" width="10.5703125" style="68" customWidth="1"/>
    <col min="18" max="19" width="14.7109375" style="4" bestFit="1" customWidth="1"/>
    <col min="20" max="20" width="5" style="1" bestFit="1" customWidth="1"/>
    <col min="21" max="21" width="11.140625" style="1" hidden="1" customWidth="1"/>
    <col min="22" max="22" width="9.140625" style="1" hidden="1" customWidth="1"/>
    <col min="23" max="23" width="18.28515625" style="1" customWidth="1"/>
    <col min="24" max="24" width="15.7109375" style="1" customWidth="1"/>
    <col min="25" max="16384" width="9.140625" style="1"/>
  </cols>
  <sheetData>
    <row r="1" spans="1:20">
      <c r="D1" s="66"/>
      <c r="E1" s="66"/>
      <c r="F1" s="66"/>
      <c r="G1" s="66"/>
      <c r="I1" s="182"/>
      <c r="J1" s="182"/>
      <c r="L1" s="67"/>
      <c r="P1" s="78">
        <v>127460860</v>
      </c>
    </row>
    <row r="2" spans="1:20">
      <c r="A2" s="69" t="s">
        <v>190</v>
      </c>
      <c r="B2" s="69"/>
      <c r="D2" s="70" t="s">
        <v>191</v>
      </c>
      <c r="E2" s="70"/>
      <c r="F2" s="70"/>
      <c r="G2" s="70"/>
      <c r="H2" s="71"/>
      <c r="I2" s="70"/>
    </row>
    <row r="3" spans="1:20">
      <c r="A3" s="72"/>
      <c r="B3" s="53"/>
      <c r="C3" s="53"/>
      <c r="E3" s="73"/>
      <c r="F3" s="73"/>
      <c r="G3" s="73"/>
      <c r="H3" s="19" t="s">
        <v>192</v>
      </c>
      <c r="I3" s="74">
        <v>2.34</v>
      </c>
      <c r="J3" s="75"/>
      <c r="K3" s="76"/>
      <c r="L3" s="75"/>
      <c r="M3" s="76"/>
      <c r="N3" s="76"/>
      <c r="O3" s="76"/>
      <c r="P3" s="77">
        <v>45667</v>
      </c>
    </row>
    <row r="4" spans="1:20">
      <c r="A4" s="753" t="s">
        <v>99</v>
      </c>
      <c r="B4" s="751" t="s">
        <v>193</v>
      </c>
      <c r="C4" s="751"/>
      <c r="D4" s="751" t="s">
        <v>194</v>
      </c>
      <c r="E4" s="751" t="s">
        <v>105</v>
      </c>
      <c r="F4" s="751" t="s">
        <v>234</v>
      </c>
      <c r="G4" s="751" t="s">
        <v>235</v>
      </c>
      <c r="H4" s="747" t="s">
        <v>3</v>
      </c>
      <c r="I4" s="747"/>
      <c r="J4" s="748" t="s">
        <v>197</v>
      </c>
      <c r="K4" s="749" t="s">
        <v>198</v>
      </c>
      <c r="L4" s="734" t="s">
        <v>124</v>
      </c>
      <c r="M4" s="748" t="s">
        <v>199</v>
      </c>
      <c r="N4" s="748" t="s">
        <v>200</v>
      </c>
      <c r="O4" s="749" t="s">
        <v>11</v>
      </c>
      <c r="P4" s="735" t="s">
        <v>201</v>
      </c>
      <c r="Q4" s="735" t="s">
        <v>202</v>
      </c>
      <c r="R4" s="735"/>
    </row>
    <row r="5" spans="1:20" ht="39.6" customHeight="1">
      <c r="A5" s="753"/>
      <c r="B5" s="751"/>
      <c r="C5" s="751"/>
      <c r="D5" s="751"/>
      <c r="E5" s="751"/>
      <c r="F5" s="751"/>
      <c r="G5" s="751"/>
      <c r="H5" s="54" t="s">
        <v>203</v>
      </c>
      <c r="I5" s="54" t="s">
        <v>204</v>
      </c>
      <c r="J5" s="748"/>
      <c r="K5" s="749"/>
      <c r="L5" s="734"/>
      <c r="M5" s="748"/>
      <c r="N5" s="748"/>
      <c r="O5" s="749"/>
      <c r="P5" s="735"/>
      <c r="Q5" s="122" t="s">
        <v>236</v>
      </c>
      <c r="R5" s="123" t="s">
        <v>106</v>
      </c>
    </row>
    <row r="6" spans="1:20">
      <c r="A6" s="124">
        <v>1</v>
      </c>
      <c r="B6" s="125" t="s">
        <v>206</v>
      </c>
      <c r="C6" s="124">
        <v>20</v>
      </c>
      <c r="D6" s="124" t="s">
        <v>207</v>
      </c>
      <c r="E6" s="54">
        <v>1000</v>
      </c>
      <c r="F6" s="54">
        <f>+E6*20</f>
        <v>20000</v>
      </c>
      <c r="G6" s="126">
        <v>45000</v>
      </c>
      <c r="H6" s="20">
        <f>G6*E6</f>
        <v>45000000</v>
      </c>
      <c r="I6" s="126">
        <v>105300000</v>
      </c>
      <c r="J6" s="127"/>
      <c r="K6" s="127">
        <v>5265000</v>
      </c>
      <c r="L6" s="127">
        <v>11056500</v>
      </c>
      <c r="M6" s="127">
        <v>14000</v>
      </c>
      <c r="N6" s="20">
        <v>2185360</v>
      </c>
      <c r="O6" s="127">
        <v>3640000</v>
      </c>
      <c r="P6" s="20">
        <f>N6+M6+L6+K6+I6+O6</f>
        <v>127460860</v>
      </c>
      <c r="Q6" s="128">
        <f>R6/E6</f>
        <v>116404.36</v>
      </c>
      <c r="R6" s="128">
        <f>+I6+K6+M6+N6+O6</f>
        <v>116404360</v>
      </c>
      <c r="S6" s="4">
        <f>+R6/Q6</f>
        <v>1000</v>
      </c>
    </row>
    <row r="7" spans="1:20">
      <c r="A7" s="124">
        <v>2</v>
      </c>
      <c r="B7" s="125" t="s">
        <v>206</v>
      </c>
      <c r="C7" s="124">
        <v>20</v>
      </c>
      <c r="D7" s="124" t="s">
        <v>207</v>
      </c>
      <c r="E7" s="54">
        <v>1000</v>
      </c>
      <c r="F7" s="54">
        <f>+E7*20</f>
        <v>20000</v>
      </c>
      <c r="G7" s="126">
        <v>45000</v>
      </c>
      <c r="H7" s="20">
        <f>G7*E7</f>
        <v>45000000</v>
      </c>
      <c r="I7" s="126">
        <v>105300000</v>
      </c>
      <c r="J7" s="127"/>
      <c r="K7" s="127">
        <v>5265000</v>
      </c>
      <c r="L7" s="127">
        <v>11056500</v>
      </c>
      <c r="M7" s="127"/>
      <c r="N7" s="127"/>
      <c r="O7" s="127"/>
      <c r="P7" s="20">
        <f>N7+M7+L7+K7+I7+O7</f>
        <v>121621500</v>
      </c>
      <c r="Q7" s="128">
        <f>R7/E7</f>
        <v>110565</v>
      </c>
      <c r="R7" s="128">
        <f>+I7+K7+M7+N7+O7</f>
        <v>110565000</v>
      </c>
    </row>
    <row r="8" spans="1:20">
      <c r="A8" s="736" t="s">
        <v>3</v>
      </c>
      <c r="B8" s="736"/>
      <c r="C8" s="736"/>
      <c r="D8" s="130"/>
      <c r="E8" s="129">
        <v>2000</v>
      </c>
      <c r="F8" s="131"/>
      <c r="G8" s="130"/>
      <c r="H8" s="130">
        <v>90000000</v>
      </c>
      <c r="I8" s="130">
        <v>210600000</v>
      </c>
      <c r="J8" s="132">
        <v>0</v>
      </c>
      <c r="K8" s="129">
        <v>10530000</v>
      </c>
      <c r="L8" s="129">
        <v>22113000</v>
      </c>
      <c r="M8" s="130">
        <v>14000</v>
      </c>
      <c r="N8" s="129">
        <v>2185360</v>
      </c>
      <c r="O8" s="133">
        <v>3640000</v>
      </c>
      <c r="P8" s="129">
        <f>SUM(P6:P7)</f>
        <v>249082360</v>
      </c>
      <c r="Q8" s="129">
        <f>+R8/2000</f>
        <v>113484.68</v>
      </c>
      <c r="R8" s="129">
        <f>SUM(R6:R7)</f>
        <v>226969360</v>
      </c>
    </row>
    <row r="9" spans="1:20">
      <c r="A9" s="72"/>
      <c r="B9" s="53"/>
      <c r="C9" s="53"/>
      <c r="E9" s="73"/>
      <c r="F9" s="73"/>
      <c r="G9" s="79"/>
      <c r="H9" s="19" t="s">
        <v>192</v>
      </c>
      <c r="I9" s="74">
        <v>2.39</v>
      </c>
      <c r="J9" s="75"/>
      <c r="K9" s="76"/>
      <c r="L9" s="75"/>
      <c r="M9" s="76"/>
      <c r="N9" s="76"/>
      <c r="O9" s="76"/>
      <c r="P9" s="77">
        <v>45734</v>
      </c>
      <c r="Q9" s="75"/>
      <c r="R9" s="21"/>
    </row>
    <row r="10" spans="1:20" ht="15" hidden="1" customHeight="1">
      <c r="A10" s="732" t="s">
        <v>99</v>
      </c>
      <c r="B10" s="743" t="s">
        <v>193</v>
      </c>
      <c r="C10" s="744"/>
      <c r="D10" s="741" t="s">
        <v>194</v>
      </c>
      <c r="E10" s="741" t="s">
        <v>105</v>
      </c>
      <c r="F10" s="741" t="s">
        <v>195</v>
      </c>
      <c r="G10" s="737" t="s">
        <v>196</v>
      </c>
      <c r="H10" s="739" t="s">
        <v>3</v>
      </c>
      <c r="I10" s="740"/>
      <c r="J10" s="737" t="s">
        <v>197</v>
      </c>
      <c r="K10" s="758" t="s">
        <v>198</v>
      </c>
      <c r="L10" s="760" t="s">
        <v>124</v>
      </c>
      <c r="M10" s="737" t="s">
        <v>199</v>
      </c>
      <c r="N10" s="737" t="s">
        <v>200</v>
      </c>
      <c r="O10" s="754" t="s">
        <v>11</v>
      </c>
      <c r="P10" s="762" t="s">
        <v>201</v>
      </c>
      <c r="Q10" s="756" t="s">
        <v>202</v>
      </c>
      <c r="R10" s="757"/>
    </row>
    <row r="11" spans="1:20" ht="32.25" hidden="1" customHeight="1">
      <c r="A11" s="733"/>
      <c r="B11" s="745"/>
      <c r="C11" s="746"/>
      <c r="D11" s="742"/>
      <c r="E11" s="742"/>
      <c r="F11" s="742"/>
      <c r="G11" s="738"/>
      <c r="H11" s="134" t="s">
        <v>203</v>
      </c>
      <c r="I11" s="134" t="s">
        <v>204</v>
      </c>
      <c r="J11" s="738"/>
      <c r="K11" s="759"/>
      <c r="L11" s="761"/>
      <c r="M11" s="738"/>
      <c r="N11" s="738"/>
      <c r="O11" s="755"/>
      <c r="P11" s="763"/>
      <c r="Q11" s="135" t="s">
        <v>205</v>
      </c>
      <c r="R11" s="150" t="s">
        <v>106</v>
      </c>
    </row>
    <row r="12" spans="1:20" s="22" customFormat="1">
      <c r="A12" s="124">
        <v>1</v>
      </c>
      <c r="B12" s="125" t="s">
        <v>208</v>
      </c>
      <c r="C12" s="124">
        <v>10</v>
      </c>
      <c r="D12" s="124" t="s">
        <v>207</v>
      </c>
      <c r="E12" s="54">
        <v>2000</v>
      </c>
      <c r="F12" s="54">
        <f>+E12*C12</f>
        <v>20000</v>
      </c>
      <c r="G12" s="126">
        <v>19000</v>
      </c>
      <c r="H12" s="20">
        <f>+G12*E12</f>
        <v>38000000</v>
      </c>
      <c r="I12" s="126">
        <f>H12*$I$9</f>
        <v>90820000</v>
      </c>
      <c r="J12" s="127"/>
      <c r="K12" s="127">
        <v>4541000</v>
      </c>
      <c r="L12" s="127">
        <f>+(I12+J12)*0.1</f>
        <v>9082000</v>
      </c>
      <c r="M12" s="127">
        <v>14000</v>
      </c>
      <c r="N12" s="127"/>
      <c r="O12" s="127">
        <v>1540000</v>
      </c>
      <c r="P12" s="128">
        <v>106451100</v>
      </c>
      <c r="Q12" s="128">
        <f>+R12/E12</f>
        <v>48457.5</v>
      </c>
      <c r="R12" s="128">
        <v>96915000</v>
      </c>
      <c r="S12" s="80">
        <v>4541000</v>
      </c>
      <c r="T12" s="81">
        <v>0</v>
      </c>
    </row>
    <row r="13" spans="1:20" s="22" customFormat="1">
      <c r="A13" s="124">
        <v>2</v>
      </c>
      <c r="B13" s="125" t="s">
        <v>210</v>
      </c>
      <c r="C13" s="124">
        <v>5</v>
      </c>
      <c r="D13" s="124" t="s">
        <v>207</v>
      </c>
      <c r="E13" s="126">
        <v>4000</v>
      </c>
      <c r="F13" s="54">
        <f>+E13*C13</f>
        <v>20000</v>
      </c>
      <c r="G13" s="126">
        <v>9500</v>
      </c>
      <c r="H13" s="20">
        <f t="shared" ref="H13" si="0">+G13*E13</f>
        <v>38000000</v>
      </c>
      <c r="I13" s="126">
        <f>H13*$I$9</f>
        <v>90820000</v>
      </c>
      <c r="J13" s="127"/>
      <c r="K13" s="127">
        <v>4541000</v>
      </c>
      <c r="L13" s="127">
        <f>+(I13+J13)*0.1</f>
        <v>9082000</v>
      </c>
      <c r="M13" s="127">
        <v>2400</v>
      </c>
      <c r="N13" s="127">
        <v>1464520</v>
      </c>
      <c r="O13" s="127">
        <v>39000</v>
      </c>
      <c r="P13" s="128">
        <v>106403020</v>
      </c>
      <c r="Q13" s="128">
        <f t="shared" ref="Q13:Q17" si="1">+R13/E13</f>
        <v>24216.73</v>
      </c>
      <c r="R13" s="128">
        <v>96866920</v>
      </c>
      <c r="S13" s="80">
        <v>4541000</v>
      </c>
      <c r="T13" s="81">
        <v>0</v>
      </c>
    </row>
    <row r="14" spans="1:20" s="83" customFormat="1" ht="24" customHeight="1">
      <c r="A14" s="736" t="s">
        <v>3</v>
      </c>
      <c r="B14" s="736"/>
      <c r="C14" s="736"/>
      <c r="D14" s="130"/>
      <c r="E14" s="129">
        <v>6000</v>
      </c>
      <c r="F14" s="131"/>
      <c r="G14" s="130"/>
      <c r="H14" s="130">
        <v>76000000</v>
      </c>
      <c r="I14" s="130">
        <v>181640000</v>
      </c>
      <c r="J14" s="132">
        <v>0</v>
      </c>
      <c r="K14" s="129">
        <f>SUM(K12:K13)</f>
        <v>9082000</v>
      </c>
      <c r="L14" s="129">
        <v>19072200</v>
      </c>
      <c r="M14" s="130">
        <v>16400</v>
      </c>
      <c r="N14" s="129">
        <v>1464520</v>
      </c>
      <c r="O14" s="133">
        <v>1579000</v>
      </c>
      <c r="P14" s="129">
        <f>SUM(P12:P13)</f>
        <v>212854120</v>
      </c>
      <c r="Q14" s="128"/>
      <c r="R14" s="129">
        <f>SUM(R12:R13)</f>
        <v>193781920</v>
      </c>
      <c r="S14" s="82">
        <v>9082000</v>
      </c>
      <c r="T14" s="83">
        <v>0</v>
      </c>
    </row>
    <row r="15" spans="1:20">
      <c r="A15" s="136" t="s">
        <v>190</v>
      </c>
      <c r="B15" s="136"/>
      <c r="C15" s="10"/>
      <c r="D15" s="137" t="s">
        <v>191</v>
      </c>
      <c r="E15" s="137"/>
      <c r="F15" s="137"/>
      <c r="G15" s="138"/>
      <c r="H15" s="20" t="s">
        <v>192</v>
      </c>
      <c r="I15" s="139">
        <v>2.42</v>
      </c>
      <c r="L15" s="20"/>
      <c r="M15" s="20"/>
      <c r="N15" s="20"/>
      <c r="O15" s="20"/>
      <c r="P15" s="140">
        <v>45761</v>
      </c>
      <c r="Q15" s="128"/>
      <c r="R15" s="20"/>
    </row>
    <row r="16" spans="1:20" hidden="1">
      <c r="A16" s="753" t="s">
        <v>99</v>
      </c>
      <c r="B16" s="751" t="s">
        <v>193</v>
      </c>
      <c r="C16" s="751"/>
      <c r="D16" s="751" t="s">
        <v>194</v>
      </c>
      <c r="E16" s="751" t="s">
        <v>105</v>
      </c>
      <c r="F16" s="751" t="s">
        <v>195</v>
      </c>
      <c r="G16" s="748" t="s">
        <v>196</v>
      </c>
      <c r="H16" s="747" t="s">
        <v>3</v>
      </c>
      <c r="I16" s="747"/>
      <c r="J16" s="748" t="s">
        <v>197</v>
      </c>
      <c r="K16" s="749" t="s">
        <v>198</v>
      </c>
      <c r="L16" s="734" t="s">
        <v>124</v>
      </c>
      <c r="M16" s="748" t="s">
        <v>199</v>
      </c>
      <c r="N16" s="748" t="s">
        <v>200</v>
      </c>
      <c r="O16" s="734" t="s">
        <v>212</v>
      </c>
      <c r="P16" s="735" t="s">
        <v>201</v>
      </c>
      <c r="Q16" s="128" t="e">
        <f t="shared" si="1"/>
        <v>#VALUE!</v>
      </c>
      <c r="R16" s="20"/>
    </row>
    <row r="17" spans="1:18" hidden="1">
      <c r="A17" s="753"/>
      <c r="B17" s="751"/>
      <c r="C17" s="751"/>
      <c r="D17" s="751"/>
      <c r="E17" s="751"/>
      <c r="F17" s="751"/>
      <c r="G17" s="748"/>
      <c r="H17" s="54" t="s">
        <v>203</v>
      </c>
      <c r="I17" s="54" t="s">
        <v>204</v>
      </c>
      <c r="J17" s="748"/>
      <c r="K17" s="749"/>
      <c r="L17" s="734"/>
      <c r="M17" s="748"/>
      <c r="N17" s="748"/>
      <c r="O17" s="734"/>
      <c r="P17" s="735"/>
      <c r="Q17" s="128" t="e">
        <f t="shared" si="1"/>
        <v>#DIV/0!</v>
      </c>
      <c r="R17" s="20"/>
    </row>
    <row r="18" spans="1:18">
      <c r="A18" s="124">
        <v>1</v>
      </c>
      <c r="B18" s="750" t="s">
        <v>213</v>
      </c>
      <c r="C18" s="124" t="s">
        <v>214</v>
      </c>
      <c r="D18" s="124" t="s">
        <v>207</v>
      </c>
      <c r="E18" s="54">
        <v>2400</v>
      </c>
      <c r="F18" s="54">
        <f>+E18*1</f>
        <v>2400</v>
      </c>
      <c r="G18" s="126">
        <v>1900</v>
      </c>
      <c r="H18" s="20">
        <f>G18*E18</f>
        <v>4560000</v>
      </c>
      <c r="I18" s="126">
        <f>+H18*I15</f>
        <v>11035200</v>
      </c>
      <c r="J18" s="141"/>
      <c r="K18" s="127">
        <f>I18*0.05</f>
        <v>551760</v>
      </c>
      <c r="L18" s="127">
        <f>(K18+I18)*0.1</f>
        <v>1158696</v>
      </c>
      <c r="M18" s="127">
        <v>10600</v>
      </c>
      <c r="N18" s="127">
        <v>564225</v>
      </c>
      <c r="O18" s="127">
        <v>770000</v>
      </c>
      <c r="P18" s="128">
        <f>+O18+N18+M18+L18+K18+I18</f>
        <v>14090481</v>
      </c>
      <c r="Q18" s="128">
        <f>R18/E18</f>
        <v>5388.2437499999996</v>
      </c>
      <c r="R18" s="20">
        <f>+I18+K18+M18+N18+O18</f>
        <v>12931785</v>
      </c>
    </row>
    <row r="19" spans="1:18">
      <c r="A19" s="124">
        <v>2</v>
      </c>
      <c r="B19" s="750"/>
      <c r="C19" s="124" t="s">
        <v>215</v>
      </c>
      <c r="D19" s="124" t="s">
        <v>207</v>
      </c>
      <c r="E19" s="126">
        <v>1500</v>
      </c>
      <c r="F19" s="54">
        <f>+E19*2</f>
        <v>3000</v>
      </c>
      <c r="G19" s="126">
        <v>3800</v>
      </c>
      <c r="H19" s="20">
        <f>+G19*E19</f>
        <v>5700000</v>
      </c>
      <c r="I19" s="126">
        <f>+H19*I15</f>
        <v>13794000</v>
      </c>
      <c r="J19" s="127"/>
      <c r="K19" s="127">
        <f>+I19*0.05</f>
        <v>689700</v>
      </c>
      <c r="L19" s="127">
        <f>(K19+I19)*0.1</f>
        <v>1448370</v>
      </c>
      <c r="M19" s="127"/>
      <c r="N19" s="127"/>
      <c r="O19" s="127"/>
      <c r="P19" s="128">
        <f>+O19+N19+M19+L19+K19+I19</f>
        <v>15932070</v>
      </c>
      <c r="Q19" s="128">
        <f>R19/E19</f>
        <v>9655.7999999999993</v>
      </c>
      <c r="R19" s="20">
        <f>+I19+K19+M19+N19+O19</f>
        <v>14483700</v>
      </c>
    </row>
    <row r="20" spans="1:18">
      <c r="A20" s="736" t="s">
        <v>3</v>
      </c>
      <c r="B20" s="736"/>
      <c r="C20" s="736"/>
      <c r="D20" s="130"/>
      <c r="E20" s="129">
        <v>3900</v>
      </c>
      <c r="F20" s="144"/>
      <c r="G20" s="130"/>
      <c r="H20" s="130">
        <f>SUM(H18:H19)</f>
        <v>10260000</v>
      </c>
      <c r="I20" s="130">
        <v>24829200</v>
      </c>
      <c r="J20" s="132">
        <v>0</v>
      </c>
      <c r="K20" s="129">
        <v>1241460</v>
      </c>
      <c r="L20" s="129">
        <f>SUM(L18:L19)</f>
        <v>2607066</v>
      </c>
      <c r="M20" s="130">
        <v>10600</v>
      </c>
      <c r="N20" s="129">
        <v>564225</v>
      </c>
      <c r="O20" s="133">
        <v>770000</v>
      </c>
      <c r="P20" s="129">
        <f>SUM(P18:P19)</f>
        <v>30022551</v>
      </c>
      <c r="Q20" s="129"/>
      <c r="R20" s="129">
        <f t="shared" ref="R20" si="2">SUM(R18:R19)</f>
        <v>27415485</v>
      </c>
    </row>
    <row r="21" spans="1:18" hidden="1">
      <c r="A21" s="2"/>
      <c r="B21" s="2"/>
      <c r="C21" s="10"/>
      <c r="D21" s="2"/>
      <c r="E21" s="2"/>
      <c r="F21" s="2">
        <f>1500*2</f>
        <v>3000</v>
      </c>
      <c r="G21" s="2"/>
      <c r="H21" s="20"/>
      <c r="I21" s="20">
        <f>13275910/2.42</f>
        <v>5485913.2231404958</v>
      </c>
      <c r="J21" s="20"/>
      <c r="K21" s="20"/>
      <c r="L21" s="20"/>
      <c r="M21" s="20"/>
      <c r="N21" s="20"/>
      <c r="O21" s="20"/>
      <c r="P21" s="20"/>
    </row>
    <row r="22" spans="1:18" hidden="1">
      <c r="A22" s="2"/>
      <c r="B22" s="2"/>
      <c r="C22" s="10"/>
      <c r="D22" s="2"/>
      <c r="E22" s="2"/>
      <c r="F22" s="2"/>
      <c r="G22" s="2"/>
      <c r="H22" s="20"/>
      <c r="I22" s="20"/>
      <c r="J22" s="20"/>
      <c r="K22" s="20"/>
      <c r="L22" s="20" t="s">
        <v>216</v>
      </c>
      <c r="M22" s="20">
        <v>3859126</v>
      </c>
      <c r="N22" s="20"/>
      <c r="O22" s="20"/>
      <c r="P22" s="20"/>
    </row>
    <row r="23" spans="1:18" hidden="1">
      <c r="A23" s="2"/>
      <c r="B23" s="2"/>
      <c r="C23" s="10"/>
      <c r="D23" s="2"/>
      <c r="E23" s="2"/>
      <c r="F23" s="2"/>
      <c r="G23" s="2"/>
      <c r="H23" s="20"/>
      <c r="I23" s="20"/>
      <c r="J23" s="20"/>
      <c r="K23" s="20"/>
      <c r="L23" s="20" t="s">
        <v>217</v>
      </c>
      <c r="M23" s="20">
        <v>4629973.68</v>
      </c>
      <c r="N23" s="20"/>
      <c r="O23" s="20"/>
      <c r="P23" s="20"/>
    </row>
    <row r="24" spans="1:18" hidden="1">
      <c r="A24" s="2"/>
      <c r="B24" s="2"/>
      <c r="C24" s="10"/>
      <c r="D24" s="2"/>
      <c r="E24" s="2"/>
      <c r="F24" s="2"/>
      <c r="G24" s="2"/>
      <c r="H24" s="20"/>
      <c r="I24" s="20"/>
      <c r="J24" s="20"/>
      <c r="K24" s="20"/>
      <c r="L24" s="51" t="s">
        <v>218</v>
      </c>
      <c r="M24" s="51">
        <v>770847.68</v>
      </c>
      <c r="N24" s="20"/>
      <c r="O24" s="20"/>
      <c r="P24" s="20"/>
    </row>
    <row r="25" spans="1:18" hidden="1">
      <c r="A25" s="2"/>
      <c r="B25" s="2"/>
      <c r="C25" s="10"/>
      <c r="D25" s="2"/>
      <c r="E25" s="2"/>
      <c r="F25" s="2"/>
      <c r="G25" s="2"/>
      <c r="H25" s="20"/>
      <c r="I25" s="20"/>
      <c r="J25" s="20"/>
      <c r="K25" s="20"/>
      <c r="L25" s="20"/>
      <c r="M25" s="20"/>
      <c r="N25" s="20"/>
      <c r="O25" s="20"/>
      <c r="P25" s="20"/>
    </row>
    <row r="26" spans="1:18" hidden="1">
      <c r="A26" s="2"/>
      <c r="B26" s="2"/>
      <c r="C26" s="10"/>
      <c r="D26" s="2"/>
      <c r="E26" s="2"/>
      <c r="F26" s="2"/>
      <c r="G26" s="2"/>
      <c r="H26" s="20"/>
      <c r="I26" s="20"/>
      <c r="J26" s="20"/>
      <c r="K26" s="20"/>
      <c r="L26" s="20"/>
      <c r="M26" s="20"/>
      <c r="N26" s="20"/>
      <c r="O26" s="20"/>
      <c r="P26" s="20"/>
    </row>
    <row r="27" spans="1:18" ht="40.15" hidden="1" customHeight="1">
      <c r="A27" s="751" t="s">
        <v>190</v>
      </c>
      <c r="B27" s="751"/>
      <c r="C27" s="752" t="s">
        <v>191</v>
      </c>
      <c r="D27" s="752"/>
      <c r="E27" s="752"/>
      <c r="F27" s="752"/>
      <c r="G27" s="752"/>
      <c r="H27" s="752"/>
      <c r="I27" s="752"/>
      <c r="J27" s="20"/>
      <c r="K27" s="20"/>
      <c r="L27" s="20"/>
      <c r="M27" s="20"/>
      <c r="N27" s="20"/>
      <c r="O27" s="20"/>
      <c r="P27" s="20"/>
    </row>
    <row r="28" spans="1:18" hidden="1">
      <c r="A28" s="136"/>
      <c r="B28" s="136"/>
      <c r="C28" s="119"/>
      <c r="D28" s="136"/>
      <c r="E28" s="2"/>
      <c r="F28" s="2"/>
      <c r="G28" s="2"/>
      <c r="H28" s="20"/>
      <c r="I28" s="20"/>
      <c r="J28" s="20"/>
      <c r="K28" s="20"/>
      <c r="L28" s="20"/>
      <c r="M28" s="20"/>
      <c r="N28" s="20"/>
      <c r="O28" s="20"/>
      <c r="P28" s="20"/>
    </row>
    <row r="29" spans="1:18">
      <c r="A29" s="119"/>
      <c r="B29" s="120"/>
      <c r="C29" s="120"/>
      <c r="D29" s="2"/>
      <c r="E29" s="145"/>
      <c r="F29" s="145"/>
      <c r="G29" s="145"/>
      <c r="H29" s="20" t="s">
        <v>192</v>
      </c>
      <c r="I29" s="139">
        <v>3530.23</v>
      </c>
      <c r="J29" s="54"/>
      <c r="K29" s="146"/>
      <c r="L29" s="54"/>
      <c r="M29" s="146"/>
      <c r="N29" s="146"/>
      <c r="O29" s="146"/>
      <c r="P29" s="140">
        <v>45761</v>
      </c>
    </row>
    <row r="30" spans="1:18" hidden="1">
      <c r="A30" s="753" t="s">
        <v>99</v>
      </c>
      <c r="B30" s="751" t="s">
        <v>193</v>
      </c>
      <c r="C30" s="751"/>
      <c r="D30" s="751" t="s">
        <v>194</v>
      </c>
      <c r="E30" s="751" t="s">
        <v>105</v>
      </c>
      <c r="F30" s="751" t="s">
        <v>195</v>
      </c>
      <c r="G30" s="751" t="s">
        <v>196</v>
      </c>
      <c r="H30" s="747" t="s">
        <v>3</v>
      </c>
      <c r="I30" s="747"/>
      <c r="J30" s="748" t="s">
        <v>197</v>
      </c>
      <c r="K30" s="749" t="s">
        <v>198</v>
      </c>
      <c r="L30" s="734" t="s">
        <v>124</v>
      </c>
      <c r="M30" s="748" t="s">
        <v>199</v>
      </c>
      <c r="N30" s="748" t="s">
        <v>200</v>
      </c>
      <c r="O30" s="734" t="s">
        <v>212</v>
      </c>
      <c r="P30" s="735" t="s">
        <v>201</v>
      </c>
    </row>
    <row r="31" spans="1:18" hidden="1">
      <c r="A31" s="753"/>
      <c r="B31" s="751"/>
      <c r="C31" s="751"/>
      <c r="D31" s="751"/>
      <c r="E31" s="751"/>
      <c r="F31" s="751"/>
      <c r="G31" s="751"/>
      <c r="H31" s="54" t="s">
        <v>203</v>
      </c>
      <c r="I31" s="54" t="s">
        <v>204</v>
      </c>
      <c r="J31" s="748"/>
      <c r="K31" s="749"/>
      <c r="L31" s="734"/>
      <c r="M31" s="748"/>
      <c r="N31" s="748"/>
      <c r="O31" s="734"/>
      <c r="P31" s="735"/>
    </row>
    <row r="32" spans="1:18" ht="15.6" customHeight="1">
      <c r="A32" s="124">
        <v>1</v>
      </c>
      <c r="B32" s="147" t="s">
        <v>219</v>
      </c>
      <c r="C32" s="124">
        <v>16</v>
      </c>
      <c r="D32" s="124" t="s">
        <v>207</v>
      </c>
      <c r="E32" s="121">
        <v>16</v>
      </c>
      <c r="F32" s="121">
        <v>14.2</v>
      </c>
      <c r="G32" s="148">
        <v>227.2</v>
      </c>
      <c r="H32" s="283">
        <f>277668/3530.23</f>
        <v>78.654365296312136</v>
      </c>
      <c r="I32" s="126">
        <f>+H32*3530.23</f>
        <v>277668</v>
      </c>
      <c r="J32" s="127"/>
      <c r="K32" s="127">
        <f>I32*0.05</f>
        <v>13883.400000000001</v>
      </c>
      <c r="L32" s="127">
        <f>(K32+I32)*0.1</f>
        <v>29155.140000000003</v>
      </c>
      <c r="M32" s="127">
        <v>7000</v>
      </c>
      <c r="N32" s="127">
        <v>0</v>
      </c>
      <c r="O32" s="127">
        <v>0</v>
      </c>
      <c r="P32" s="128">
        <v>341589.68</v>
      </c>
    </row>
    <row r="33" spans="1:16">
      <c r="A33" s="736" t="s">
        <v>3</v>
      </c>
      <c r="B33" s="736"/>
      <c r="C33" s="736"/>
      <c r="D33" s="130"/>
      <c r="E33" s="129">
        <v>16</v>
      </c>
      <c r="F33" s="131"/>
      <c r="G33" s="149">
        <v>227.2</v>
      </c>
      <c r="H33" s="130">
        <v>0</v>
      </c>
      <c r="I33" s="149">
        <v>291551.17</v>
      </c>
      <c r="J33" s="132">
        <v>0</v>
      </c>
      <c r="K33" s="129">
        <v>13883.39</v>
      </c>
      <c r="L33" s="129">
        <v>29155.119999999999</v>
      </c>
      <c r="M33" s="130">
        <v>7000</v>
      </c>
      <c r="N33" s="132">
        <v>0</v>
      </c>
      <c r="O33" s="133">
        <v>0</v>
      </c>
      <c r="P33" s="129">
        <v>341589.68</v>
      </c>
    </row>
    <row r="34" spans="1:16" s="56" customFormat="1" ht="42.75">
      <c r="A34" s="142" t="s">
        <v>4</v>
      </c>
      <c r="B34" s="142" t="s">
        <v>221</v>
      </c>
      <c r="C34" s="142" t="s">
        <v>222</v>
      </c>
      <c r="D34" s="142" t="s">
        <v>223</v>
      </c>
      <c r="E34" s="142" t="s">
        <v>224</v>
      </c>
      <c r="F34" s="142" t="s">
        <v>225</v>
      </c>
      <c r="G34" s="142" t="s">
        <v>226</v>
      </c>
      <c r="H34" s="142" t="s">
        <v>227</v>
      </c>
      <c r="I34" s="142" t="s">
        <v>228</v>
      </c>
      <c r="J34" s="143" t="s">
        <v>124</v>
      </c>
      <c r="K34" s="142" t="s">
        <v>229</v>
      </c>
      <c r="L34" s="56" t="s">
        <v>643</v>
      </c>
    </row>
    <row r="35" spans="1:16" s="55" customFormat="1" ht="15">
      <c r="A35" s="58">
        <v>1</v>
      </c>
      <c r="B35" s="59" t="s">
        <v>230</v>
      </c>
      <c r="C35" s="17">
        <v>2016</v>
      </c>
      <c r="D35" s="59">
        <v>750</v>
      </c>
      <c r="E35" s="180">
        <v>1512000</v>
      </c>
      <c r="F35" s="17">
        <v>322255.496732748</v>
      </c>
      <c r="G35" s="17">
        <v>4732379.1815704899</v>
      </c>
      <c r="H35" s="17">
        <v>121331.83437892096</v>
      </c>
      <c r="I35" s="17">
        <v>378683.4</v>
      </c>
      <c r="J35" s="18">
        <v>795235.13</v>
      </c>
      <c r="K35" s="18">
        <v>2595.43373807014</v>
      </c>
      <c r="L35" s="52">
        <f>+G35+I35+H35</f>
        <v>5232394.4159494117</v>
      </c>
      <c r="M35" s="52">
        <f>+L35/C35</f>
        <v>2595.4337380701445</v>
      </c>
      <c r="N35" s="52">
        <f>E35+F35</f>
        <v>1834255.4967327481</v>
      </c>
      <c r="O35" s="268">
        <v>2.58</v>
      </c>
    </row>
    <row r="36" spans="1:16" s="55" customFormat="1" ht="15">
      <c r="A36" s="58">
        <v>2</v>
      </c>
      <c r="B36" s="59" t="s">
        <v>230</v>
      </c>
      <c r="C36" s="17">
        <v>2880</v>
      </c>
      <c r="D36" s="59">
        <v>850</v>
      </c>
      <c r="E36" s="180">
        <v>2448000</v>
      </c>
      <c r="F36" s="17">
        <v>521746.99471016316</v>
      </c>
      <c r="G36" s="17">
        <v>7661947.2463522209</v>
      </c>
      <c r="H36" s="17">
        <v>196442.01756587203</v>
      </c>
      <c r="I36" s="17">
        <v>637090.46</v>
      </c>
      <c r="J36" s="18">
        <v>1337889.97</v>
      </c>
      <c r="K36" s="18">
        <v>2949.8193485826705</v>
      </c>
      <c r="L36" s="52">
        <f t="shared" ref="L36:L37" si="3">+G36+I36+H36</f>
        <v>8495479.7239180934</v>
      </c>
      <c r="M36" s="52">
        <f t="shared" ref="M36:M37" si="4">+L36/C36</f>
        <v>2949.8193485826714</v>
      </c>
      <c r="N36" s="52">
        <f t="shared" ref="N36" si="5">E36+F36</f>
        <v>2969746.9947101632</v>
      </c>
      <c r="O36" s="268">
        <f t="shared" ref="O36:O37" si="6">+G36/N36</f>
        <v>2.58</v>
      </c>
    </row>
    <row r="37" spans="1:16" s="55" customFormat="1" ht="15">
      <c r="A37" s="58">
        <v>3</v>
      </c>
      <c r="B37" s="59" t="s">
        <v>231</v>
      </c>
      <c r="C37" s="17">
        <v>500</v>
      </c>
      <c r="D37" s="59">
        <v>50</v>
      </c>
      <c r="E37" s="180">
        <v>25000</v>
      </c>
      <c r="F37" s="17">
        <v>5328.2985570890842</v>
      </c>
      <c r="G37" s="17">
        <v>78247.010277289839</v>
      </c>
      <c r="H37" s="17">
        <v>2006.1480552070263</v>
      </c>
      <c r="I37" s="17">
        <v>11520.78</v>
      </c>
      <c r="J37" s="18">
        <v>24193.63</v>
      </c>
      <c r="K37" s="18">
        <v>183.54787666499374</v>
      </c>
      <c r="L37" s="52">
        <f t="shared" si="3"/>
        <v>91773.938332496866</v>
      </c>
      <c r="M37" s="52">
        <f t="shared" si="4"/>
        <v>183.54787666499374</v>
      </c>
      <c r="N37" s="52">
        <f>E37+F37</f>
        <v>30328.298557089085</v>
      </c>
      <c r="O37" s="268">
        <f t="shared" si="6"/>
        <v>2.58</v>
      </c>
    </row>
    <row r="38" spans="1:16" s="55" customFormat="1" ht="15">
      <c r="A38" s="58"/>
      <c r="B38" s="59"/>
      <c r="C38" s="59"/>
      <c r="D38" s="59"/>
      <c r="E38" s="181">
        <f>SUM(E35:E37)</f>
        <v>3985000</v>
      </c>
      <c r="F38" s="61">
        <v>849330.79</v>
      </c>
      <c r="G38" s="62">
        <f>SUM(G35:G37)</f>
        <v>12472573.438200001</v>
      </c>
      <c r="H38" s="63">
        <f>351758/1.1</f>
        <v>319780</v>
      </c>
      <c r="I38" s="63">
        <f>SUM(I35:I37)</f>
        <v>1027294.64</v>
      </c>
      <c r="J38" s="64">
        <f>SUM(J35:J37)</f>
        <v>2157318.73</v>
      </c>
      <c r="K38" s="64">
        <f t="shared" ref="K38:M38" si="7">SUM(K35:K37)</f>
        <v>5728.8009633178044</v>
      </c>
      <c r="L38" s="61">
        <f>SUM(L35:L37)</f>
        <v>13819648.078200001</v>
      </c>
      <c r="M38" s="61">
        <f t="shared" si="7"/>
        <v>5728.8009633178099</v>
      </c>
      <c r="P38" s="65"/>
    </row>
    <row r="39" spans="1:16" s="55" customFormat="1" ht="15" hidden="1">
      <c r="F39" s="65">
        <f>E38*2.58</f>
        <v>10281300</v>
      </c>
      <c r="G39" s="16"/>
      <c r="J39" s="16"/>
    </row>
    <row r="40" spans="1:16" s="56" customFormat="1" ht="42.75">
      <c r="A40" s="57" t="s">
        <v>4</v>
      </c>
      <c r="B40" s="57" t="s">
        <v>221</v>
      </c>
      <c r="C40" s="57" t="s">
        <v>222</v>
      </c>
      <c r="D40" s="57" t="s">
        <v>674</v>
      </c>
      <c r="E40" s="57" t="s">
        <v>673</v>
      </c>
      <c r="F40" s="57" t="s">
        <v>675</v>
      </c>
      <c r="G40" s="57" t="s">
        <v>226</v>
      </c>
      <c r="H40" s="57"/>
      <c r="I40" s="57" t="s">
        <v>228</v>
      </c>
      <c r="J40" s="269" t="s">
        <v>124</v>
      </c>
      <c r="K40" s="57" t="s">
        <v>229</v>
      </c>
      <c r="L40" s="57" t="s">
        <v>643</v>
      </c>
    </row>
    <row r="41" spans="1:16" s="55" customFormat="1" ht="15">
      <c r="A41" s="58">
        <v>1</v>
      </c>
      <c r="B41" s="59" t="s">
        <v>233</v>
      </c>
      <c r="C41" s="60">
        <v>800</v>
      </c>
      <c r="D41" s="55">
        <v>1</v>
      </c>
      <c r="E41" s="284">
        <f>+C41*D41</f>
        <v>800</v>
      </c>
      <c r="F41" s="284">
        <v>261.02932099999998</v>
      </c>
      <c r="G41" s="17">
        <f>SUM(E41:F41)*3583.72</f>
        <v>3802431.9982541199</v>
      </c>
      <c r="H41" s="17"/>
      <c r="I41" s="17">
        <f>G41*0.05</f>
        <v>190121.59991270601</v>
      </c>
      <c r="J41" s="270">
        <f>(I41+G41)*0.1</f>
        <v>399255.35981668258</v>
      </c>
      <c r="K41" s="272">
        <f>+L41/C41</f>
        <v>4990.6919977085317</v>
      </c>
      <c r="L41" s="273">
        <f>+G41+I41</f>
        <v>3992553.5981668257</v>
      </c>
    </row>
    <row r="42" spans="1:16" s="55" customFormat="1" ht="15">
      <c r="A42" s="58"/>
      <c r="B42" s="59"/>
      <c r="C42" s="59"/>
      <c r="D42" s="59"/>
      <c r="E42" s="61"/>
      <c r="F42" s="61">
        <v>849330.79</v>
      </c>
      <c r="G42" s="62"/>
      <c r="H42" s="63">
        <f>351758/1.1</f>
        <v>319780</v>
      </c>
      <c r="I42" s="63"/>
      <c r="J42" s="271">
        <f>SUM(J41:J41)</f>
        <v>399255.35981668258</v>
      </c>
      <c r="K42" s="59"/>
      <c r="L42" s="59"/>
      <c r="O42" s="55" t="s">
        <v>677</v>
      </c>
      <c r="P42" s="55" t="s">
        <v>678</v>
      </c>
    </row>
    <row r="43" spans="1:16" s="55" customFormat="1" ht="15">
      <c r="E43" s="65">
        <f>E42*2.58</f>
        <v>0</v>
      </c>
      <c r="G43" s="16"/>
      <c r="J43" s="52">
        <f>(J42+L33+L20+L14+L8+J38)*10</f>
        <v>463779952.09816682</v>
      </c>
      <c r="M43" s="55" t="s">
        <v>679</v>
      </c>
      <c r="P43" s="268">
        <f>I33+G41+G38+I20+I14+I8</f>
        <v>433635756.60645413</v>
      </c>
    </row>
    <row r="44" spans="1:16" ht="14.25">
      <c r="J44" s="19">
        <f>J43-Vat!H16</f>
        <v>-5293677.8618332148</v>
      </c>
      <c r="M44" s="19" t="s">
        <v>680</v>
      </c>
      <c r="O44" s="274">
        <f>+R8+R14+R20+P33+L38+L41</f>
        <v>466320556.35636681</v>
      </c>
    </row>
    <row r="45" spans="1:16">
      <c r="M45" s="19" t="s">
        <v>124</v>
      </c>
      <c r="O45" s="19">
        <f>+L8+L14+L20+L33+J38+J41</f>
        <v>46377995.209816679</v>
      </c>
    </row>
    <row r="46" spans="1:16">
      <c r="P46" s="19">
        <f>+K8+L8+M8+N8+O8+K14+L14+M14+N14+O14+O18+N18+M18+L18+L19+K19+K18+K32+L32+M32+I38+H38+J38+J41+I41</f>
        <v>79033639.8697294</v>
      </c>
    </row>
    <row r="47" spans="1:16">
      <c r="O47" s="19">
        <f>SUM(O44:O46)</f>
        <v>512698551.56618351</v>
      </c>
      <c r="P47" s="19">
        <f>SUM(P43:P46)</f>
        <v>512669396.47618353</v>
      </c>
    </row>
    <row r="48" spans="1:16">
      <c r="P48" s="19">
        <f>+O47-P47</f>
        <v>29155.089999973774</v>
      </c>
    </row>
  </sheetData>
  <mergeCells count="65">
    <mergeCell ref="P10:P11"/>
    <mergeCell ref="Q4:R4"/>
    <mergeCell ref="O4:O5"/>
    <mergeCell ref="P4:P5"/>
    <mergeCell ref="A4:A5"/>
    <mergeCell ref="B4:C5"/>
    <mergeCell ref="D4:D5"/>
    <mergeCell ref="E4:E5"/>
    <mergeCell ref="F4:F5"/>
    <mergeCell ref="A8:C8"/>
    <mergeCell ref="K4:K5"/>
    <mergeCell ref="L4:L5"/>
    <mergeCell ref="M4:M5"/>
    <mergeCell ref="N4:N5"/>
    <mergeCell ref="G4:G5"/>
    <mergeCell ref="H4:I4"/>
    <mergeCell ref="J4:J5"/>
    <mergeCell ref="P16:P17"/>
    <mergeCell ref="Q10:R10"/>
    <mergeCell ref="A14:C14"/>
    <mergeCell ref="A16:A17"/>
    <mergeCell ref="B16:C17"/>
    <mergeCell ref="D16:D17"/>
    <mergeCell ref="E16:E17"/>
    <mergeCell ref="F16:F17"/>
    <mergeCell ref="G16:G17"/>
    <mergeCell ref="H16:I16"/>
    <mergeCell ref="J16:J17"/>
    <mergeCell ref="K10:K11"/>
    <mergeCell ref="L10:L11"/>
    <mergeCell ref="M10:M11"/>
    <mergeCell ref="N10:N11"/>
    <mergeCell ref="O10:O11"/>
    <mergeCell ref="K16:K17"/>
    <mergeCell ref="L16:L17"/>
    <mergeCell ref="M16:M17"/>
    <mergeCell ref="N16:N17"/>
    <mergeCell ref="O16:O17"/>
    <mergeCell ref="N30:N31"/>
    <mergeCell ref="B18:B19"/>
    <mergeCell ref="A20:C20"/>
    <mergeCell ref="A27:B27"/>
    <mergeCell ref="C27:I27"/>
    <mergeCell ref="A30:A31"/>
    <mergeCell ref="B30:C31"/>
    <mergeCell ref="D30:D31"/>
    <mergeCell ref="E30:E31"/>
    <mergeCell ref="F30:F31"/>
    <mergeCell ref="G30:G31"/>
    <mergeCell ref="A10:A11"/>
    <mergeCell ref="O30:O31"/>
    <mergeCell ref="P30:P31"/>
    <mergeCell ref="A33:C33"/>
    <mergeCell ref="J10:J11"/>
    <mergeCell ref="H10:I10"/>
    <mergeCell ref="G10:G11"/>
    <mergeCell ref="F10:F11"/>
    <mergeCell ref="E10:E11"/>
    <mergeCell ref="D10:D11"/>
    <mergeCell ref="B10:C11"/>
    <mergeCell ref="H30:I30"/>
    <mergeCell ref="J30:J31"/>
    <mergeCell ref="K30:K31"/>
    <mergeCell ref="L30:L31"/>
    <mergeCell ref="M30:M31"/>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F8EB9-C34D-4732-8518-AFD7B3C53C38}">
  <dimension ref="A1:Q25"/>
  <sheetViews>
    <sheetView workbookViewId="0">
      <selection activeCell="D17" sqref="D17"/>
    </sheetView>
  </sheetViews>
  <sheetFormatPr defaultColWidth="8.85546875" defaultRowHeight="15"/>
  <cols>
    <col min="1" max="1" width="4.28515625" style="16" bestFit="1" customWidth="1"/>
    <col min="2" max="2" width="18.7109375" style="16" customWidth="1"/>
    <col min="3" max="3" width="11.7109375" style="16" customWidth="1"/>
    <col min="4" max="4" width="8.5703125" style="16" customWidth="1"/>
    <col min="5" max="5" width="10.42578125" style="16" customWidth="1"/>
    <col min="6" max="6" width="10.42578125" style="16" hidden="1" customWidth="1"/>
    <col min="7" max="7" width="14.140625" style="16" customWidth="1"/>
    <col min="8" max="8" width="9.5703125" style="16" bestFit="1" customWidth="1"/>
    <col min="9" max="9" width="12.42578125" style="16" bestFit="1" customWidth="1"/>
    <col min="10" max="10" width="15.7109375" style="16" bestFit="1" customWidth="1"/>
    <col min="11" max="11" width="16.7109375" style="16" bestFit="1" customWidth="1"/>
    <col min="12" max="13" width="11.140625" style="16" customWidth="1"/>
    <col min="14" max="14" width="17.7109375" style="16" bestFit="1" customWidth="1"/>
    <col min="15" max="15" width="12.7109375" style="276" bestFit="1" customWidth="1"/>
    <col min="16" max="16" width="15.140625" style="16" hidden="1" customWidth="1"/>
    <col min="17" max="17" width="12" style="16" customWidth="1"/>
    <col min="18" max="18" width="14.140625" style="16" bestFit="1" customWidth="1"/>
    <col min="19" max="19" width="12.5703125" style="16" customWidth="1"/>
    <col min="20" max="16384" width="8.85546875" style="16"/>
  </cols>
  <sheetData>
    <row r="1" spans="1:17">
      <c r="G1" s="275" t="s">
        <v>691</v>
      </c>
    </row>
    <row r="3" spans="1:17" ht="28.5">
      <c r="A3" s="277" t="s">
        <v>99</v>
      </c>
      <c r="B3" s="277" t="s">
        <v>681</v>
      </c>
      <c r="C3" s="277" t="s">
        <v>100</v>
      </c>
      <c r="D3" s="15" t="s">
        <v>694</v>
      </c>
      <c r="E3" s="15" t="s">
        <v>682</v>
      </c>
      <c r="F3" s="15" t="s">
        <v>815</v>
      </c>
      <c r="G3" s="15" t="s">
        <v>683</v>
      </c>
      <c r="H3" s="277" t="s">
        <v>684</v>
      </c>
      <c r="I3" s="15" t="s">
        <v>685</v>
      </c>
      <c r="J3" s="15" t="s">
        <v>686</v>
      </c>
      <c r="K3" s="277" t="s">
        <v>687</v>
      </c>
      <c r="L3" s="277" t="s">
        <v>688</v>
      </c>
      <c r="M3" s="15" t="s">
        <v>698</v>
      </c>
      <c r="N3" s="277" t="s">
        <v>643</v>
      </c>
      <c r="O3" s="15" t="s">
        <v>689</v>
      </c>
      <c r="P3" s="16">
        <f>SUM(I4:I8)</f>
        <v>422096600</v>
      </c>
    </row>
    <row r="4" spans="1:17">
      <c r="A4" s="278">
        <v>1</v>
      </c>
      <c r="B4" s="18" t="s">
        <v>693</v>
      </c>
      <c r="C4" s="18" t="s">
        <v>692</v>
      </c>
      <c r="D4" s="17">
        <v>2000</v>
      </c>
      <c r="E4" s="17">
        <v>45000</v>
      </c>
      <c r="F4" s="17"/>
      <c r="G4" s="17">
        <f>E4*D4</f>
        <v>90000000</v>
      </c>
      <c r="H4" s="18">
        <v>2.34</v>
      </c>
      <c r="I4" s="17">
        <f>(G4)*H4</f>
        <v>210600000</v>
      </c>
      <c r="J4" s="17">
        <f>I4*5%</f>
        <v>10530000</v>
      </c>
      <c r="K4" s="280">
        <f>(I4+J4)*0.1</f>
        <v>22113000</v>
      </c>
      <c r="L4" s="17">
        <f>24000+14000</f>
        <v>38000</v>
      </c>
      <c r="M4" s="17"/>
      <c r="N4" s="17">
        <f>I4+J4+L4+M4</f>
        <v>221168000</v>
      </c>
      <c r="O4" s="281">
        <f>N4/D4</f>
        <v>110584</v>
      </c>
      <c r="P4" s="16">
        <f>+I4/$P$3*$N$9</f>
        <v>155694.27671296085</v>
      </c>
      <c r="Q4" s="16">
        <f>+(P4+N4)/D4</f>
        <v>110661.84713835648</v>
      </c>
    </row>
    <row r="5" spans="1:17">
      <c r="A5" s="278">
        <v>2</v>
      </c>
      <c r="B5" s="18" t="s">
        <v>696</v>
      </c>
      <c r="C5" s="18" t="s">
        <v>695</v>
      </c>
      <c r="D5" s="17">
        <v>2000</v>
      </c>
      <c r="E5" s="17">
        <v>19000</v>
      </c>
      <c r="F5" s="17"/>
      <c r="G5" s="17">
        <f>+E5*D5</f>
        <v>38000000</v>
      </c>
      <c r="H5" s="18">
        <v>2.39</v>
      </c>
      <c r="I5" s="61">
        <f t="shared" ref="I5:I9" si="0">(G5)*H5</f>
        <v>90820000</v>
      </c>
      <c r="J5" s="17">
        <f t="shared" ref="J5:J13" si="1">I5*5%</f>
        <v>4541000</v>
      </c>
      <c r="K5" s="280">
        <f t="shared" ref="K5:K13" si="2">(I5+J5)*0.1</f>
        <v>9536100</v>
      </c>
      <c r="L5" s="17">
        <v>38200</v>
      </c>
      <c r="M5" s="17"/>
      <c r="N5" s="17">
        <f t="shared" ref="N5:N13" si="3">I5+J5+L5+M5</f>
        <v>95399200</v>
      </c>
      <c r="O5" s="281">
        <f t="shared" ref="O5:O13" si="4">N5/D5</f>
        <v>47699.6</v>
      </c>
      <c r="P5" s="16">
        <f t="shared" ref="P5:P8" si="5">+I5/$P$3*$N$9</f>
        <v>67142.232721135355</v>
      </c>
      <c r="Q5" s="16">
        <f>+(P5+N5)/D5</f>
        <v>47733.171116360565</v>
      </c>
    </row>
    <row r="6" spans="1:17">
      <c r="A6" s="278">
        <v>3</v>
      </c>
      <c r="B6" s="18" t="s">
        <v>697</v>
      </c>
      <c r="C6" s="18" t="s">
        <v>695</v>
      </c>
      <c r="D6" s="17">
        <v>4000</v>
      </c>
      <c r="E6" s="17">
        <v>9500</v>
      </c>
      <c r="F6" s="17"/>
      <c r="G6" s="17">
        <f>+E6*D6</f>
        <v>38000000</v>
      </c>
      <c r="H6" s="18">
        <v>2.39</v>
      </c>
      <c r="I6" s="61">
        <f t="shared" si="0"/>
        <v>90820000</v>
      </c>
      <c r="J6" s="17">
        <f t="shared" si="1"/>
        <v>4541000</v>
      </c>
      <c r="K6" s="280">
        <f t="shared" si="2"/>
        <v>9536100</v>
      </c>
      <c r="L6" s="17">
        <v>38200</v>
      </c>
      <c r="M6" s="17">
        <f>1087120+238440</f>
        <v>1325560</v>
      </c>
      <c r="N6" s="17">
        <f t="shared" si="3"/>
        <v>96724760</v>
      </c>
      <c r="O6" s="281">
        <f t="shared" si="4"/>
        <v>24181.19</v>
      </c>
      <c r="P6" s="16">
        <f t="shared" si="5"/>
        <v>67142.232721135355</v>
      </c>
      <c r="Q6" s="16">
        <f t="shared" ref="Q6:Q8" si="6">+(P6+N6)/D6</f>
        <v>24197.975558180282</v>
      </c>
    </row>
    <row r="7" spans="1:17">
      <c r="A7" s="278">
        <v>4</v>
      </c>
      <c r="B7" s="18" t="s">
        <v>699</v>
      </c>
      <c r="C7" s="18" t="s">
        <v>814</v>
      </c>
      <c r="D7" s="17">
        <v>1500</v>
      </c>
      <c r="E7" s="18">
        <v>3800</v>
      </c>
      <c r="F7" s="18"/>
      <c r="G7" s="17">
        <f t="shared" ref="G7:G13" si="7">+E7*D7</f>
        <v>5700000</v>
      </c>
      <c r="H7" s="18">
        <v>2.91</v>
      </c>
      <c r="I7" s="286">
        <f t="shared" si="0"/>
        <v>16587000</v>
      </c>
      <c r="J7" s="17">
        <f t="shared" si="1"/>
        <v>829350</v>
      </c>
      <c r="K7" s="280">
        <f>(I7+J7)*0.1</f>
        <v>1741635</v>
      </c>
      <c r="L7" s="17">
        <f>13500+8200+2400</f>
        <v>24100</v>
      </c>
      <c r="M7" s="767">
        <f>295225+526225</f>
        <v>821450</v>
      </c>
      <c r="N7" s="17">
        <f t="shared" si="3"/>
        <v>18261900</v>
      </c>
      <c r="O7" s="279">
        <f t="shared" si="4"/>
        <v>12174.6</v>
      </c>
      <c r="P7" s="16">
        <f t="shared" si="5"/>
        <v>12262.587691537899</v>
      </c>
      <c r="Q7" s="16">
        <f t="shared" si="6"/>
        <v>12182.775058461026</v>
      </c>
    </row>
    <row r="8" spans="1:17" ht="14.45" customHeight="1">
      <c r="A8" s="278">
        <v>5</v>
      </c>
      <c r="B8" s="18" t="s">
        <v>700</v>
      </c>
      <c r="C8" s="18" t="s">
        <v>814</v>
      </c>
      <c r="D8" s="17">
        <v>2400</v>
      </c>
      <c r="E8" s="18">
        <v>1900</v>
      </c>
      <c r="F8" s="18"/>
      <c r="G8" s="17">
        <f t="shared" si="7"/>
        <v>4560000</v>
      </c>
      <c r="H8" s="18">
        <v>2.91</v>
      </c>
      <c r="I8" s="286">
        <f t="shared" si="0"/>
        <v>13269600</v>
      </c>
      <c r="J8" s="17">
        <f t="shared" si="1"/>
        <v>663480</v>
      </c>
      <c r="K8" s="280">
        <f t="shared" si="2"/>
        <v>1393308</v>
      </c>
      <c r="L8" s="17">
        <v>13500</v>
      </c>
      <c r="M8" s="768"/>
      <c r="N8" s="17">
        <f t="shared" si="3"/>
        <v>13946580</v>
      </c>
      <c r="O8" s="279">
        <f t="shared" si="4"/>
        <v>5811.0749999999998</v>
      </c>
      <c r="P8" s="16">
        <f t="shared" si="5"/>
        <v>9810.0701532303192</v>
      </c>
      <c r="Q8" s="16">
        <f t="shared" si="6"/>
        <v>5815.1625292305125</v>
      </c>
    </row>
    <row r="9" spans="1:17">
      <c r="A9" s="278">
        <v>6</v>
      </c>
      <c r="B9" s="18" t="s">
        <v>219</v>
      </c>
      <c r="C9" s="18"/>
      <c r="D9" s="17">
        <f>+'[4]Gaali-2025'!E32</f>
        <v>16</v>
      </c>
      <c r="E9" s="282">
        <f>78.6543652963121/16</f>
        <v>4.9158978310195058</v>
      </c>
      <c r="F9" s="282"/>
      <c r="G9" s="18">
        <f>+E9*D9</f>
        <v>78.654365296312093</v>
      </c>
      <c r="H9" s="18">
        <f>+'[4]Gaali-2025'!I29</f>
        <v>3530.23</v>
      </c>
      <c r="I9" s="17">
        <f t="shared" si="0"/>
        <v>277667.99999999983</v>
      </c>
      <c r="J9" s="17">
        <f>I9*5%</f>
        <v>13883.399999999992</v>
      </c>
      <c r="K9" s="280">
        <f t="shared" si="2"/>
        <v>29155.139999999981</v>
      </c>
      <c r="L9" s="17">
        <v>13500</v>
      </c>
      <c r="M9" s="17">
        <v>7000</v>
      </c>
      <c r="N9" s="17">
        <f t="shared" si="3"/>
        <v>312051.39999999979</v>
      </c>
      <c r="O9" s="279">
        <f t="shared" si="4"/>
        <v>19503.212499999987</v>
      </c>
    </row>
    <row r="10" spans="1:17">
      <c r="A10" s="278">
        <v>7</v>
      </c>
      <c r="B10" s="18" t="s">
        <v>230</v>
      </c>
      <c r="C10" s="18" t="s">
        <v>320</v>
      </c>
      <c r="D10" s="17">
        <v>2016</v>
      </c>
      <c r="E10" s="18">
        <v>750</v>
      </c>
      <c r="F10" s="17">
        <f>+[7]Import!F4</f>
        <v>804896.22082810546</v>
      </c>
      <c r="G10" s="17">
        <f>(E10*D10)+F10</f>
        <v>2316896.2208281057</v>
      </c>
      <c r="H10" s="18">
        <v>2.58</v>
      </c>
      <c r="I10" s="17">
        <f>(G10)*H10</f>
        <v>5977592.249736513</v>
      </c>
      <c r="J10" s="17">
        <v>378683.4</v>
      </c>
      <c r="K10" s="280">
        <v>795235.13</v>
      </c>
      <c r="L10" s="17">
        <v>13500</v>
      </c>
      <c r="M10" s="17">
        <v>121331.83437892096</v>
      </c>
      <c r="N10" s="17">
        <f t="shared" si="3"/>
        <v>6491107.4841154348</v>
      </c>
      <c r="O10" s="279">
        <f t="shared" si="4"/>
        <v>3219.7953790255133</v>
      </c>
      <c r="Q10" s="16">
        <f>+O10</f>
        <v>3219.7953790255133</v>
      </c>
    </row>
    <row r="11" spans="1:17">
      <c r="A11" s="278">
        <v>8</v>
      </c>
      <c r="B11" s="18" t="s">
        <v>230</v>
      </c>
      <c r="C11" s="18"/>
      <c r="D11" s="17">
        <v>2880</v>
      </c>
      <c r="E11" s="18">
        <v>850</v>
      </c>
      <c r="F11" s="17">
        <f>+[7]Import!F5</f>
        <v>1303165.3099121705</v>
      </c>
      <c r="G11" s="17">
        <f t="shared" ref="G11:G12" si="8">(E11*D11)+F11</f>
        <v>3751165.3099121703</v>
      </c>
      <c r="H11" s="18">
        <v>2.58</v>
      </c>
      <c r="I11" s="17">
        <f t="shared" ref="I11:I12" si="9">(G11)*H11</f>
        <v>9678006.4995734002</v>
      </c>
      <c r="J11" s="17">
        <v>637090.46</v>
      </c>
      <c r="K11" s="280">
        <v>1337889.97</v>
      </c>
      <c r="L11" s="17">
        <f>20000+10600</f>
        <v>30600</v>
      </c>
      <c r="M11" s="17">
        <v>196442.01756587203</v>
      </c>
      <c r="N11" s="17">
        <f t="shared" si="3"/>
        <v>10542138.977139272</v>
      </c>
      <c r="O11" s="279">
        <f t="shared" si="4"/>
        <v>3660.4649226178026</v>
      </c>
      <c r="Q11" s="16">
        <f t="shared" ref="Q11:Q13" si="10">+O11</f>
        <v>3660.4649226178026</v>
      </c>
    </row>
    <row r="12" spans="1:17">
      <c r="A12" s="278">
        <v>9</v>
      </c>
      <c r="B12" s="18" t="s">
        <v>231</v>
      </c>
      <c r="C12" s="18"/>
      <c r="D12" s="17">
        <v>500</v>
      </c>
      <c r="E12" s="18">
        <v>50</v>
      </c>
      <c r="F12" s="17">
        <f>+[7]Import!F6</f>
        <v>13308.469259723965</v>
      </c>
      <c r="G12" s="17">
        <f t="shared" si="8"/>
        <v>38308.469259723963</v>
      </c>
      <c r="H12" s="18">
        <v>2.58</v>
      </c>
      <c r="I12" s="17">
        <f t="shared" si="9"/>
        <v>98835.850690087827</v>
      </c>
      <c r="J12" s="17">
        <v>11520.78</v>
      </c>
      <c r="K12" s="280">
        <v>24193.63</v>
      </c>
      <c r="L12" s="17">
        <v>20000</v>
      </c>
      <c r="M12" s="17">
        <v>2006.1480552070263</v>
      </c>
      <c r="N12" s="17">
        <f t="shared" si="3"/>
        <v>132362.77874529484</v>
      </c>
      <c r="O12" s="279">
        <f t="shared" si="4"/>
        <v>264.72555749058967</v>
      </c>
      <c r="Q12" s="16">
        <f t="shared" si="10"/>
        <v>264.72555749058967</v>
      </c>
    </row>
    <row r="13" spans="1:17">
      <c r="A13" s="278">
        <v>10</v>
      </c>
      <c r="B13" s="18" t="s">
        <v>233</v>
      </c>
      <c r="C13" s="18" t="s">
        <v>690</v>
      </c>
      <c r="D13" s="17">
        <v>800</v>
      </c>
      <c r="E13" s="18">
        <v>1</v>
      </c>
      <c r="F13" s="18"/>
      <c r="G13" s="17">
        <f t="shared" si="7"/>
        <v>800</v>
      </c>
      <c r="H13" s="18">
        <v>3583.72</v>
      </c>
      <c r="I13" s="17">
        <f>(261.029321+G13)*H13</f>
        <v>3802431.9982541199</v>
      </c>
      <c r="J13" s="17">
        <f t="shared" si="1"/>
        <v>190121.59991270601</v>
      </c>
      <c r="K13" s="280">
        <f t="shared" si="2"/>
        <v>399255.35981668258</v>
      </c>
      <c r="L13" s="17">
        <v>30000</v>
      </c>
      <c r="M13" s="17"/>
      <c r="N13" s="17">
        <f t="shared" si="3"/>
        <v>4022553.5981668257</v>
      </c>
      <c r="O13" s="279">
        <f t="shared" si="4"/>
        <v>5028.1919977085317</v>
      </c>
      <c r="Q13" s="16">
        <f t="shared" si="10"/>
        <v>5028.1919977085317</v>
      </c>
    </row>
    <row r="14" spans="1:17">
      <c r="A14" s="764" t="s">
        <v>3</v>
      </c>
      <c r="B14" s="765"/>
      <c r="C14" s="766"/>
      <c r="D14" s="285">
        <f>SUM(D4:D13)</f>
        <v>18112</v>
      </c>
      <c r="E14" s="285">
        <f t="shared" ref="E14:O14" si="11">SUM(E4:E13)</f>
        <v>80855.915897831015</v>
      </c>
      <c r="F14" s="285"/>
      <c r="G14" s="285">
        <f>SUM(G4:G13)</f>
        <v>182367248.6543653</v>
      </c>
      <c r="H14" s="285">
        <f t="shared" si="11"/>
        <v>7134.6299999999992</v>
      </c>
      <c r="I14" s="285">
        <f>SUM(I4:I13)</f>
        <v>441931134.59825408</v>
      </c>
      <c r="J14" s="285">
        <f t="shared" si="11"/>
        <v>22336129.639912706</v>
      </c>
      <c r="K14" s="285">
        <f>SUM(K4:K13)</f>
        <v>46905872.22981669</v>
      </c>
      <c r="L14" s="285">
        <f t="shared" si="11"/>
        <v>259600</v>
      </c>
      <c r="M14" s="285">
        <f>SUM(M4:M13)</f>
        <v>2473790</v>
      </c>
      <c r="N14" s="285">
        <f>SUM(N4:N13)</f>
        <v>467000654.23816681</v>
      </c>
      <c r="O14" s="285">
        <f t="shared" si="11"/>
        <v>232126.85535684245</v>
      </c>
      <c r="Q14" s="644">
        <f>SUM(Q4:Q13)</f>
        <v>212764.10925743132</v>
      </c>
    </row>
    <row r="15" spans="1:17">
      <c r="D15" s="52"/>
    </row>
    <row r="18" spans="8:11">
      <c r="I18" s="16">
        <f>2+2+6+1+5</f>
        <v>16</v>
      </c>
      <c r="J18" s="287" t="s">
        <v>1</v>
      </c>
      <c r="K18" s="287" t="s">
        <v>0</v>
      </c>
    </row>
    <row r="19" spans="8:11">
      <c r="H19" s="16" t="s">
        <v>701</v>
      </c>
      <c r="K19" s="16">
        <f>I14</f>
        <v>441931134.59825408</v>
      </c>
    </row>
    <row r="20" spans="8:11">
      <c r="H20" s="16" t="s">
        <v>702</v>
      </c>
      <c r="K20" s="16">
        <f>+J14+K14+L14+M14</f>
        <v>71975391.8697294</v>
      </c>
    </row>
    <row r="22" spans="8:11">
      <c r="H22" s="16" t="s">
        <v>374</v>
      </c>
      <c r="J22" s="16">
        <f>+I14+J14+L14+M14</f>
        <v>467000654.23816681</v>
      </c>
    </row>
    <row r="23" spans="8:11">
      <c r="H23" s="16" t="s">
        <v>124</v>
      </c>
      <c r="J23" s="16">
        <f>+K14</f>
        <v>46905872.22981669</v>
      </c>
    </row>
    <row r="25" spans="8:11">
      <c r="J25" s="275">
        <f>SUM(J19:J24)</f>
        <v>513906526.46798348</v>
      </c>
      <c r="K25" s="275">
        <f>SUM(K19:K24)</f>
        <v>513906526.46798348</v>
      </c>
    </row>
  </sheetData>
  <mergeCells count="2">
    <mergeCell ref="A14:C14"/>
    <mergeCell ref="M7:M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ED35B-B387-4B00-A679-277EB5580779}">
  <dimension ref="A2:K12"/>
  <sheetViews>
    <sheetView workbookViewId="0">
      <selection activeCell="E19" sqref="E19"/>
    </sheetView>
  </sheetViews>
  <sheetFormatPr defaultColWidth="8.85546875" defaultRowHeight="15"/>
  <cols>
    <col min="1" max="1" width="4.7109375" style="55" customWidth="1"/>
    <col min="2" max="2" width="15.85546875" style="55" customWidth="1"/>
    <col min="3" max="3" width="8.42578125" style="55" bestFit="1" customWidth="1"/>
    <col min="4" max="4" width="8.5703125" style="55" customWidth="1"/>
    <col min="5" max="5" width="12.28515625" style="55" customWidth="1"/>
    <col min="6" max="6" width="11.42578125" style="55" bestFit="1" customWidth="1"/>
    <col min="7" max="7" width="11.5703125" style="55" bestFit="1" customWidth="1"/>
    <col min="8" max="9" width="11.42578125" style="55" bestFit="1" customWidth="1"/>
    <col min="10" max="10" width="13.140625" style="16" bestFit="1" customWidth="1"/>
    <col min="11" max="11" width="10.42578125" style="55" bestFit="1" customWidth="1"/>
    <col min="12" max="16384" width="8.85546875" style="55"/>
  </cols>
  <sheetData>
    <row r="2" spans="1:11">
      <c r="B2" s="55" t="s">
        <v>220</v>
      </c>
    </row>
    <row r="3" spans="1:11" s="56" customFormat="1" ht="42.75">
      <c r="A3" s="57" t="s">
        <v>4</v>
      </c>
      <c r="B3" s="57" t="s">
        <v>221</v>
      </c>
      <c r="C3" s="57" t="s">
        <v>222</v>
      </c>
      <c r="D3" s="57" t="s">
        <v>223</v>
      </c>
      <c r="E3" s="57" t="s">
        <v>224</v>
      </c>
      <c r="F3" s="57" t="s">
        <v>225</v>
      </c>
      <c r="G3" s="57" t="s">
        <v>226</v>
      </c>
      <c r="H3" s="57" t="s">
        <v>227</v>
      </c>
      <c r="I3" s="57" t="s">
        <v>228</v>
      </c>
      <c r="J3" s="15" t="s">
        <v>124</v>
      </c>
      <c r="K3" s="57" t="s">
        <v>229</v>
      </c>
    </row>
    <row r="4" spans="1:11">
      <c r="A4" s="58">
        <v>1</v>
      </c>
      <c r="B4" s="59" t="s">
        <v>230</v>
      </c>
      <c r="C4" s="60">
        <v>2016</v>
      </c>
      <c r="D4" s="59">
        <v>750</v>
      </c>
      <c r="E4" s="17">
        <f>C4*D4</f>
        <v>1512000</v>
      </c>
      <c r="F4" s="17">
        <f>(E4/$E$7)*F6</f>
        <v>2021.6781476332987</v>
      </c>
      <c r="G4" s="17">
        <f>(E4+F4)*2.58</f>
        <v>3906175.9296208941</v>
      </c>
      <c r="H4" s="17">
        <f>G4/G7*H7</f>
        <v>107253.755358804</v>
      </c>
      <c r="I4" s="17">
        <v>378683.4</v>
      </c>
      <c r="J4" s="18">
        <v>795235.13</v>
      </c>
      <c r="K4" s="18">
        <f>(G4+H4+I4)/C4</f>
        <v>2178.627522311358</v>
      </c>
    </row>
    <row r="5" spans="1:11">
      <c r="A5" s="58">
        <v>2</v>
      </c>
      <c r="B5" s="59" t="s">
        <v>230</v>
      </c>
      <c r="C5" s="60">
        <v>2880</v>
      </c>
      <c r="D5" s="59">
        <v>850</v>
      </c>
      <c r="E5" s="17">
        <f t="shared" ref="E5:E6" si="0">+C5*D5</f>
        <v>2448000</v>
      </c>
      <c r="F5" s="17">
        <f>(E5/$E$7)*F7</f>
        <v>521746.99471016316</v>
      </c>
      <c r="G5" s="17">
        <f t="shared" ref="G5" si="1">(E5+F5)*2.58</f>
        <v>7661947.2463522209</v>
      </c>
      <c r="H5" s="17">
        <f>G5/G7*H7</f>
        <v>210377.77876330278</v>
      </c>
      <c r="I5" s="17">
        <v>637090.46</v>
      </c>
      <c r="J5" s="18">
        <v>1337889.97</v>
      </c>
      <c r="K5" s="18">
        <f>(G5+H5+I5)/C5</f>
        <v>2954.6581545540016</v>
      </c>
    </row>
    <row r="6" spans="1:11">
      <c r="A6" s="58">
        <v>3</v>
      </c>
      <c r="B6" s="59" t="s">
        <v>231</v>
      </c>
      <c r="C6" s="60">
        <v>500</v>
      </c>
      <c r="D6" s="59">
        <v>50</v>
      </c>
      <c r="E6" s="17">
        <f t="shared" si="0"/>
        <v>25000</v>
      </c>
      <c r="F6" s="17">
        <f>(E6/$E$7)*F7</f>
        <v>5328.2985570890842</v>
      </c>
      <c r="G6" s="17">
        <f>(E6+F6)*2.58</f>
        <v>78247.010277289839</v>
      </c>
      <c r="H6" s="17">
        <f>G6/G7*H7</f>
        <v>2148.4658778932067</v>
      </c>
      <c r="I6" s="17">
        <v>11520.78</v>
      </c>
      <c r="J6" s="18">
        <v>24193.63</v>
      </c>
      <c r="K6" s="18">
        <f>(G6+H6+I6)/C6</f>
        <v>183.8325123103661</v>
      </c>
    </row>
    <row r="7" spans="1:11">
      <c r="A7" s="58"/>
      <c r="B7" s="59"/>
      <c r="C7" s="59"/>
      <c r="D7" s="59"/>
      <c r="E7" s="61">
        <f>SUM(E4:E6)</f>
        <v>3985000</v>
      </c>
      <c r="F7" s="61">
        <v>849330.79</v>
      </c>
      <c r="G7" s="62">
        <f>SUM(G4:G6)</f>
        <v>11646370.186250405</v>
      </c>
      <c r="H7" s="63">
        <f>351758/1.1</f>
        <v>319780</v>
      </c>
      <c r="I7" s="63">
        <f>SUM(I4:I6)</f>
        <v>1027294.64</v>
      </c>
      <c r="J7" s="64">
        <f>SUM(J4:J6)</f>
        <v>2157318.73</v>
      </c>
      <c r="K7" s="59"/>
    </row>
    <row r="8" spans="1:11">
      <c r="E8" s="65">
        <f>E7*2.58</f>
        <v>10281300</v>
      </c>
      <c r="G8" s="16"/>
    </row>
    <row r="10" spans="1:11">
      <c r="F10" s="65"/>
    </row>
    <row r="12" spans="1:11">
      <c r="F12" s="5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17A6C-3E1D-4A52-AB03-0FCAB59B121B}">
  <dimension ref="A2:V67"/>
  <sheetViews>
    <sheetView zoomScale="80" zoomScaleNormal="80" workbookViewId="0">
      <pane xSplit="2" ySplit="4" topLeftCell="C5" activePane="bottomRight" state="frozen"/>
      <selection activeCell="D17" sqref="D17"/>
      <selection pane="topRight" activeCell="D17" sqref="D17"/>
      <selection pane="bottomLeft" activeCell="D17" sqref="D17"/>
      <selection pane="bottomRight" activeCell="D17" sqref="D17"/>
    </sheetView>
  </sheetViews>
  <sheetFormatPr defaultColWidth="8.85546875" defaultRowHeight="15"/>
  <cols>
    <col min="1" max="1" width="4.140625" style="89" customWidth="1"/>
    <col min="2" max="2" width="14.140625" style="89" customWidth="1"/>
    <col min="3" max="3" width="18.28515625" style="89" customWidth="1"/>
    <col min="4" max="4" width="25.7109375" style="89" customWidth="1"/>
    <col min="5" max="5" width="12.28515625" style="89" customWidth="1"/>
    <col min="6" max="6" width="13.28515625" style="89" customWidth="1"/>
    <col min="7" max="7" width="12.28515625" style="89" customWidth="1"/>
    <col min="8" max="11" width="8.5703125" style="89" customWidth="1"/>
    <col min="12" max="12" width="16.5703125" style="89" bestFit="1" customWidth="1"/>
    <col min="13" max="14" width="15.42578125" style="89" bestFit="1" customWidth="1"/>
    <col min="15" max="15" width="14.28515625" style="89" bestFit="1" customWidth="1"/>
    <col min="16" max="16" width="15.42578125" style="89" bestFit="1" customWidth="1"/>
    <col min="17" max="17" width="16.85546875" style="89" bestFit="1" customWidth="1"/>
    <col min="18" max="18" width="16.28515625" style="89" bestFit="1" customWidth="1"/>
    <col min="19" max="19" width="12.42578125" style="89" customWidth="1"/>
    <col min="20" max="20" width="13.85546875" style="89" customWidth="1"/>
    <col min="21" max="21" width="14.42578125" style="89" customWidth="1"/>
    <col min="22" max="22" width="13.85546875" style="89" customWidth="1"/>
    <col min="23" max="23" width="11.7109375" style="89" customWidth="1"/>
    <col min="24" max="16384" width="8.85546875" style="89"/>
  </cols>
  <sheetData>
    <row r="2" spans="1:21" ht="18.75">
      <c r="B2" s="777" t="s">
        <v>237</v>
      </c>
      <c r="C2" s="777"/>
      <c r="D2" s="777"/>
      <c r="E2" s="777"/>
      <c r="F2" s="777"/>
      <c r="L2" s="90"/>
    </row>
    <row r="3" spans="1:21" ht="18.75">
      <c r="B3" s="91" t="s">
        <v>238</v>
      </c>
      <c r="C3" s="91"/>
      <c r="D3" s="92"/>
      <c r="E3" s="92"/>
      <c r="F3" s="92"/>
      <c r="G3" s="92"/>
      <c r="H3" s="92"/>
      <c r="I3" s="92"/>
      <c r="J3" s="92"/>
      <c r="K3" s="92"/>
      <c r="L3" s="92"/>
      <c r="T3" s="90"/>
    </row>
    <row r="4" spans="1:21" ht="16.5" thickBot="1">
      <c r="A4" s="778" t="s">
        <v>239</v>
      </c>
      <c r="B4" s="778"/>
      <c r="C4" s="93" t="s">
        <v>240</v>
      </c>
      <c r="D4" s="93" t="s">
        <v>209</v>
      </c>
      <c r="E4" s="93" t="s">
        <v>211</v>
      </c>
      <c r="F4" s="93" t="s">
        <v>241</v>
      </c>
      <c r="G4" s="93" t="s">
        <v>242</v>
      </c>
      <c r="H4" s="92"/>
      <c r="I4" s="92"/>
      <c r="J4" s="92"/>
      <c r="K4" s="92"/>
      <c r="L4" s="92"/>
      <c r="Q4" s="262" t="s">
        <v>643</v>
      </c>
    </row>
    <row r="5" spans="1:21" ht="16.5" thickTop="1">
      <c r="A5" s="245"/>
      <c r="B5" s="296" t="s">
        <v>641</v>
      </c>
      <c r="C5" s="297">
        <f>+'Gaali-2025'!Q8</f>
        <v>113484.68</v>
      </c>
      <c r="D5" s="297">
        <f>+'Gaali-2025'!Q12</f>
        <v>48457.5</v>
      </c>
      <c r="E5" s="297">
        <f>+'Gaali-2025'!Q13</f>
        <v>24216.73</v>
      </c>
      <c r="F5" s="297">
        <f>+'Gaali-2025'!Q19</f>
        <v>9655.7999999999993</v>
      </c>
      <c r="G5" s="297">
        <f>+'Gaali-2025'!Q18</f>
        <v>5388.2437499999996</v>
      </c>
      <c r="H5" s="92"/>
      <c r="I5" s="92"/>
      <c r="J5" s="92"/>
      <c r="K5" s="92"/>
      <c r="L5" s="96">
        <f>C7*C5</f>
        <v>140153579.79999998</v>
      </c>
      <c r="M5" s="96">
        <f>D7*D5</f>
        <v>26263965</v>
      </c>
      <c r="N5" s="96">
        <f>E7*E5</f>
        <v>22521558.899999999</v>
      </c>
      <c r="O5" s="96">
        <f>F7*F5</f>
        <v>8159150.9999999991</v>
      </c>
      <c r="P5" s="96">
        <f>G7*G5</f>
        <v>11159052.806249999</v>
      </c>
      <c r="Q5" s="261">
        <f>SUM(L5:P5)</f>
        <v>208257307.50624999</v>
      </c>
    </row>
    <row r="6" spans="1:21" ht="15.75">
      <c r="A6" s="94">
        <v>1</v>
      </c>
      <c r="B6" s="95" t="s">
        <v>104</v>
      </c>
      <c r="C6" s="174">
        <v>2000</v>
      </c>
      <c r="D6" s="174">
        <v>2000</v>
      </c>
      <c r="E6" s="174">
        <v>4000</v>
      </c>
      <c r="F6" s="175">
        <v>1500</v>
      </c>
      <c r="G6" s="176">
        <v>2400</v>
      </c>
      <c r="H6" s="96"/>
      <c r="I6" s="96"/>
      <c r="J6" s="96"/>
      <c r="K6" s="96"/>
      <c r="L6" s="92"/>
    </row>
    <row r="7" spans="1:21" ht="15.75">
      <c r="A7" s="94">
        <v>2</v>
      </c>
      <c r="B7" s="246" t="s">
        <v>15</v>
      </c>
      <c r="C7" s="247">
        <f>+L59</f>
        <v>1235</v>
      </c>
      <c r="D7" s="247">
        <f>+M59-3</f>
        <v>542</v>
      </c>
      <c r="E7" s="247">
        <f t="shared" ref="E7:G7" si="0">+N59</f>
        <v>930</v>
      </c>
      <c r="F7" s="247">
        <f t="shared" si="0"/>
        <v>845</v>
      </c>
      <c r="G7" s="247">
        <f t="shared" si="0"/>
        <v>2071</v>
      </c>
      <c r="H7" s="295">
        <f>SUM(C7:G7)</f>
        <v>5623</v>
      </c>
      <c r="I7" s="96"/>
      <c r="J7" s="96"/>
      <c r="K7" s="96"/>
      <c r="L7" s="92" t="s">
        <v>797</v>
      </c>
      <c r="M7" s="118">
        <f>M21*D5</f>
        <v>145372.5</v>
      </c>
      <c r="N7" s="89" t="s">
        <v>789</v>
      </c>
    </row>
    <row r="8" spans="1:21" ht="15.75" hidden="1">
      <c r="A8" s="94">
        <v>3</v>
      </c>
      <c r="B8" s="95" t="s">
        <v>243</v>
      </c>
      <c r="C8" s="174"/>
      <c r="D8" s="174"/>
      <c r="E8" s="174"/>
      <c r="F8" s="175"/>
      <c r="G8" s="176"/>
      <c r="H8" s="96"/>
      <c r="I8" s="96"/>
      <c r="J8" s="96"/>
      <c r="K8" s="96"/>
      <c r="L8" s="92"/>
    </row>
    <row r="9" spans="1:21" ht="16.5" thickBot="1">
      <c r="A9" s="779" t="s">
        <v>244</v>
      </c>
      <c r="B9" s="779"/>
      <c r="C9" s="177">
        <f>C6-C7-C8</f>
        <v>765</v>
      </c>
      <c r="D9" s="177">
        <f t="shared" ref="D9:F9" si="1">D6-D7-D8</f>
        <v>1458</v>
      </c>
      <c r="E9" s="177">
        <f t="shared" si="1"/>
        <v>3070</v>
      </c>
      <c r="F9" s="177">
        <f t="shared" si="1"/>
        <v>655</v>
      </c>
      <c r="G9" s="177">
        <f>G6-G7-G8</f>
        <v>329</v>
      </c>
      <c r="L9" s="92">
        <f>+G13/1.1</f>
        <v>109999.99999999999</v>
      </c>
    </row>
    <row r="10" spans="1:21" ht="15.75" thickTop="1"/>
    <row r="11" spans="1:21" ht="27.6" customHeight="1">
      <c r="A11" s="772" t="s">
        <v>99</v>
      </c>
      <c r="B11" s="772" t="s">
        <v>239</v>
      </c>
      <c r="C11" s="772" t="s">
        <v>245</v>
      </c>
      <c r="D11" s="772" t="s">
        <v>246</v>
      </c>
      <c r="E11" s="772" t="s">
        <v>247</v>
      </c>
      <c r="F11" s="772" t="s">
        <v>248</v>
      </c>
      <c r="G11" s="774" t="s">
        <v>249</v>
      </c>
      <c r="H11" s="775"/>
      <c r="I11" s="775"/>
      <c r="J11" s="775"/>
      <c r="K11" s="776"/>
      <c r="L11" s="772" t="s">
        <v>250</v>
      </c>
      <c r="M11" s="772" t="s">
        <v>251</v>
      </c>
      <c r="N11" s="772" t="s">
        <v>252</v>
      </c>
      <c r="O11" s="772" t="s">
        <v>253</v>
      </c>
      <c r="P11" s="772" t="s">
        <v>214</v>
      </c>
      <c r="Q11" s="772" t="s">
        <v>254</v>
      </c>
      <c r="R11" s="772" t="s">
        <v>255</v>
      </c>
      <c r="S11" s="772" t="s">
        <v>256</v>
      </c>
      <c r="T11" s="772" t="s">
        <v>257</v>
      </c>
      <c r="U11" s="97"/>
    </row>
    <row r="12" spans="1:21">
      <c r="A12" s="773"/>
      <c r="B12" s="773"/>
      <c r="C12" s="773"/>
      <c r="D12" s="773"/>
      <c r="E12" s="773"/>
      <c r="F12" s="773"/>
      <c r="G12" s="98" t="s">
        <v>250</v>
      </c>
      <c r="H12" s="98" t="s">
        <v>251</v>
      </c>
      <c r="I12" s="98" t="s">
        <v>252</v>
      </c>
      <c r="J12" s="98" t="s">
        <v>215</v>
      </c>
      <c r="K12" s="98" t="s">
        <v>258</v>
      </c>
      <c r="L12" s="773"/>
      <c r="M12" s="773"/>
      <c r="N12" s="773"/>
      <c r="O12" s="773"/>
      <c r="P12" s="773"/>
      <c r="Q12" s="773"/>
      <c r="R12" s="773"/>
      <c r="S12" s="773"/>
      <c r="T12" s="773"/>
      <c r="U12" s="97"/>
    </row>
    <row r="13" spans="1:21">
      <c r="A13" s="99">
        <v>1</v>
      </c>
      <c r="B13" s="100" t="s">
        <v>259</v>
      </c>
      <c r="C13" s="101" t="s">
        <v>260</v>
      </c>
      <c r="D13" s="102" t="s">
        <v>261</v>
      </c>
      <c r="E13" s="103">
        <v>5538009</v>
      </c>
      <c r="F13" s="104">
        <v>0</v>
      </c>
      <c r="G13" s="105">
        <v>121000</v>
      </c>
      <c r="H13" s="105"/>
      <c r="I13" s="105"/>
      <c r="J13" s="105"/>
      <c r="K13" s="105">
        <v>12000</v>
      </c>
      <c r="L13" s="106">
        <v>150</v>
      </c>
      <c r="M13" s="106"/>
      <c r="N13" s="106"/>
      <c r="O13" s="106"/>
      <c r="P13" s="106"/>
      <c r="Q13" s="294">
        <f>+G13*L13</f>
        <v>18150000</v>
      </c>
      <c r="R13" s="106">
        <v>18150000</v>
      </c>
      <c r="S13" s="107">
        <v>1</v>
      </c>
      <c r="T13" s="108">
        <v>1</v>
      </c>
      <c r="U13" s="109"/>
    </row>
    <row r="14" spans="1:21">
      <c r="A14" s="99">
        <v>2</v>
      </c>
      <c r="B14" s="100" t="s">
        <v>259</v>
      </c>
      <c r="C14" s="101" t="s">
        <v>262</v>
      </c>
      <c r="D14" s="102" t="s">
        <v>263</v>
      </c>
      <c r="E14" s="103">
        <v>2073854</v>
      </c>
      <c r="F14" s="104">
        <v>0</v>
      </c>
      <c r="G14" s="105">
        <v>121000</v>
      </c>
      <c r="H14" s="105"/>
      <c r="I14" s="105"/>
      <c r="J14" s="105"/>
      <c r="K14" s="105">
        <v>12000</v>
      </c>
      <c r="L14" s="106">
        <v>260</v>
      </c>
      <c r="M14" s="106"/>
      <c r="N14" s="106"/>
      <c r="O14" s="106"/>
      <c r="P14" s="106"/>
      <c r="Q14" s="294">
        <f>+G14*L14</f>
        <v>31460000</v>
      </c>
      <c r="R14" s="106">
        <v>31460000</v>
      </c>
      <c r="S14" s="107">
        <v>1</v>
      </c>
      <c r="T14" s="108">
        <v>1</v>
      </c>
      <c r="U14" s="109"/>
    </row>
    <row r="15" spans="1:21">
      <c r="A15" s="99">
        <v>3</v>
      </c>
      <c r="B15" s="100" t="s">
        <v>264</v>
      </c>
      <c r="C15" s="101">
        <v>0</v>
      </c>
      <c r="D15" s="102" t="s">
        <v>265</v>
      </c>
      <c r="E15" s="103">
        <v>5869072</v>
      </c>
      <c r="F15" s="104"/>
      <c r="G15" s="105">
        <v>121000</v>
      </c>
      <c r="H15" s="105"/>
      <c r="I15" s="105"/>
      <c r="J15" s="105"/>
      <c r="K15" s="105">
        <v>12000</v>
      </c>
      <c r="L15" s="106">
        <v>50</v>
      </c>
      <c r="M15" s="106"/>
      <c r="N15" s="106"/>
      <c r="O15" s="106"/>
      <c r="P15" s="106"/>
      <c r="Q15" s="294">
        <f t="shared" ref="Q15:Q28" si="2">+G15*L15</f>
        <v>6050000</v>
      </c>
      <c r="R15" s="106">
        <v>6050000</v>
      </c>
      <c r="S15" s="107">
        <v>1</v>
      </c>
      <c r="T15" s="108">
        <v>1</v>
      </c>
      <c r="U15" s="109"/>
    </row>
    <row r="16" spans="1:21" ht="13.15" customHeight="1">
      <c r="A16" s="99">
        <v>4</v>
      </c>
      <c r="B16" s="100" t="s">
        <v>101</v>
      </c>
      <c r="C16" s="101" t="s">
        <v>266</v>
      </c>
      <c r="D16" s="102" t="s">
        <v>267</v>
      </c>
      <c r="E16" s="103">
        <v>7001529</v>
      </c>
      <c r="F16" s="104">
        <v>0</v>
      </c>
      <c r="G16" s="105">
        <v>121000</v>
      </c>
      <c r="H16" s="105"/>
      <c r="I16" s="105"/>
      <c r="J16" s="105"/>
      <c r="K16" s="105">
        <v>12000</v>
      </c>
      <c r="L16" s="106">
        <v>10</v>
      </c>
      <c r="M16" s="106"/>
      <c r="N16" s="106"/>
      <c r="O16" s="106"/>
      <c r="P16" s="106"/>
      <c r="Q16" s="294">
        <f t="shared" si="2"/>
        <v>1210000</v>
      </c>
      <c r="R16" s="106">
        <v>1210000</v>
      </c>
      <c r="S16" s="107">
        <v>1</v>
      </c>
      <c r="T16" s="108">
        <v>1</v>
      </c>
      <c r="U16" s="109"/>
    </row>
    <row r="17" spans="1:21">
      <c r="A17" s="99">
        <v>6</v>
      </c>
      <c r="B17" s="100" t="s">
        <v>270</v>
      </c>
      <c r="C17" s="101" t="s">
        <v>271</v>
      </c>
      <c r="D17" s="102" t="s">
        <v>272</v>
      </c>
      <c r="E17" s="103">
        <v>5906261</v>
      </c>
      <c r="F17" s="104">
        <v>0</v>
      </c>
      <c r="G17" s="105">
        <v>145000</v>
      </c>
      <c r="H17" s="105"/>
      <c r="I17" s="105"/>
      <c r="J17" s="105"/>
      <c r="K17" s="105">
        <v>12000</v>
      </c>
      <c r="L17" s="106">
        <v>300</v>
      </c>
      <c r="M17" s="106"/>
      <c r="N17" s="106"/>
      <c r="O17" s="106"/>
      <c r="P17" s="106"/>
      <c r="Q17" s="294">
        <f t="shared" si="2"/>
        <v>43500000</v>
      </c>
      <c r="R17" s="106">
        <v>43500000</v>
      </c>
      <c r="S17" s="107">
        <v>1</v>
      </c>
      <c r="T17" s="108">
        <v>1</v>
      </c>
      <c r="U17" s="109"/>
    </row>
    <row r="18" spans="1:21">
      <c r="A18" s="99">
        <v>7</v>
      </c>
      <c r="B18" s="100" t="s">
        <v>273</v>
      </c>
      <c r="C18" s="101" t="s">
        <v>274</v>
      </c>
      <c r="D18" s="102" t="s">
        <v>272</v>
      </c>
      <c r="E18" s="103">
        <v>5906261</v>
      </c>
      <c r="F18" s="104">
        <v>0</v>
      </c>
      <c r="G18" s="105"/>
      <c r="H18" s="105">
        <v>85000</v>
      </c>
      <c r="I18" s="105">
        <v>48000</v>
      </c>
      <c r="J18" s="105"/>
      <c r="K18" s="105">
        <v>12000</v>
      </c>
      <c r="L18" s="106"/>
      <c r="M18" s="106">
        <v>50</v>
      </c>
      <c r="N18" s="106">
        <v>200</v>
      </c>
      <c r="O18" s="106"/>
      <c r="P18" s="106"/>
      <c r="Q18" s="294">
        <v>13850000</v>
      </c>
      <c r="R18" s="106">
        <v>13850000</v>
      </c>
      <c r="S18" s="107">
        <v>1</v>
      </c>
      <c r="T18" s="108">
        <v>1</v>
      </c>
      <c r="U18" s="109"/>
    </row>
    <row r="19" spans="1:21">
      <c r="A19" s="99">
        <v>8</v>
      </c>
      <c r="B19" s="100" t="s">
        <v>275</v>
      </c>
      <c r="C19" s="101" t="s">
        <v>276</v>
      </c>
      <c r="D19" s="102" t="s">
        <v>277</v>
      </c>
      <c r="E19" s="103">
        <v>5344476</v>
      </c>
      <c r="F19" s="104">
        <v>0</v>
      </c>
      <c r="G19" s="105"/>
      <c r="H19" s="105">
        <v>85000</v>
      </c>
      <c r="I19" s="105">
        <v>48000</v>
      </c>
      <c r="J19" s="105"/>
      <c r="K19" s="105">
        <v>12000</v>
      </c>
      <c r="L19" s="106"/>
      <c r="M19" s="106">
        <v>10</v>
      </c>
      <c r="N19" s="106">
        <v>20</v>
      </c>
      <c r="O19" s="106"/>
      <c r="P19" s="106"/>
      <c r="Q19" s="294">
        <v>1810000</v>
      </c>
      <c r="R19" s="106">
        <v>1810000</v>
      </c>
      <c r="S19" s="107">
        <v>1</v>
      </c>
      <c r="T19" s="108">
        <v>1</v>
      </c>
      <c r="U19" s="109"/>
    </row>
    <row r="20" spans="1:21">
      <c r="A20" s="99">
        <v>9</v>
      </c>
      <c r="B20" s="110" t="s">
        <v>278</v>
      </c>
      <c r="C20" s="101" t="s">
        <v>279</v>
      </c>
      <c r="D20" s="102" t="s">
        <v>263</v>
      </c>
      <c r="E20" s="99">
        <v>2073854</v>
      </c>
      <c r="F20" s="104">
        <v>0</v>
      </c>
      <c r="G20" s="105">
        <v>121000</v>
      </c>
      <c r="H20" s="105"/>
      <c r="I20" s="105"/>
      <c r="J20" s="105"/>
      <c r="K20" s="105">
        <v>12000</v>
      </c>
      <c r="L20" s="106">
        <v>150</v>
      </c>
      <c r="M20" s="106"/>
      <c r="N20" s="106"/>
      <c r="O20" s="106"/>
      <c r="P20" s="106"/>
      <c r="Q20" s="294">
        <f t="shared" si="2"/>
        <v>18150000</v>
      </c>
      <c r="R20" s="106">
        <v>18150000</v>
      </c>
      <c r="S20" s="107">
        <v>1</v>
      </c>
      <c r="T20" s="108">
        <v>1</v>
      </c>
      <c r="U20" s="109"/>
    </row>
    <row r="21" spans="1:21">
      <c r="A21" s="99">
        <v>10</v>
      </c>
      <c r="B21" s="111" t="s">
        <v>280</v>
      </c>
      <c r="C21" s="101">
        <v>0</v>
      </c>
      <c r="D21" s="102" t="s">
        <v>281</v>
      </c>
      <c r="E21" s="99">
        <v>0</v>
      </c>
      <c r="F21" s="104">
        <v>0</v>
      </c>
      <c r="G21" s="105"/>
      <c r="H21" s="105">
        <v>72500</v>
      </c>
      <c r="I21" s="105"/>
      <c r="J21" s="105"/>
      <c r="K21" s="105">
        <v>12000</v>
      </c>
      <c r="L21" s="106"/>
      <c r="M21" s="106">
        <v>3</v>
      </c>
      <c r="N21" s="106"/>
      <c r="O21" s="106"/>
      <c r="P21" s="106"/>
      <c r="Q21" s="106">
        <v>217500</v>
      </c>
      <c r="R21" s="106">
        <v>217500</v>
      </c>
      <c r="S21" s="107">
        <v>1</v>
      </c>
      <c r="T21" s="108">
        <v>1</v>
      </c>
      <c r="U21" s="109"/>
    </row>
    <row r="22" spans="1:21">
      <c r="A22" s="99">
        <v>11</v>
      </c>
      <c r="B22" s="111" t="s">
        <v>280</v>
      </c>
      <c r="C22" s="101">
        <v>0</v>
      </c>
      <c r="D22" s="102" t="s">
        <v>282</v>
      </c>
      <c r="E22" s="103">
        <v>0</v>
      </c>
      <c r="F22" s="104">
        <v>0</v>
      </c>
      <c r="G22" s="105">
        <v>160000</v>
      </c>
      <c r="H22" s="105"/>
      <c r="I22" s="105"/>
      <c r="J22" s="105"/>
      <c r="K22" s="105">
        <v>12000</v>
      </c>
      <c r="L22" s="106">
        <v>1</v>
      </c>
      <c r="M22" s="106"/>
      <c r="N22" s="106"/>
      <c r="O22" s="106"/>
      <c r="P22" s="106"/>
      <c r="Q22" s="294">
        <f t="shared" si="2"/>
        <v>160000</v>
      </c>
      <c r="R22" s="106">
        <v>160000</v>
      </c>
      <c r="S22" s="107">
        <v>1</v>
      </c>
      <c r="T22" s="108">
        <v>1</v>
      </c>
      <c r="U22" s="109"/>
    </row>
    <row r="23" spans="1:21">
      <c r="A23" s="99">
        <v>11</v>
      </c>
      <c r="B23" s="111" t="s">
        <v>283</v>
      </c>
      <c r="C23" s="111"/>
      <c r="D23" s="102" t="s">
        <v>282</v>
      </c>
      <c r="E23" s="103">
        <v>0</v>
      </c>
      <c r="F23" s="104">
        <v>0</v>
      </c>
      <c r="G23" s="105">
        <v>160000</v>
      </c>
      <c r="H23" s="105"/>
      <c r="I23" s="105"/>
      <c r="J23" s="105"/>
      <c r="K23" s="105">
        <v>12000</v>
      </c>
      <c r="L23" s="106">
        <v>1</v>
      </c>
      <c r="M23" s="106"/>
      <c r="N23" s="106"/>
      <c r="O23" s="106"/>
      <c r="P23" s="106"/>
      <c r="Q23" s="294">
        <f t="shared" si="2"/>
        <v>160000</v>
      </c>
      <c r="R23" s="106">
        <v>217500</v>
      </c>
      <c r="S23" s="107">
        <v>1</v>
      </c>
      <c r="T23" s="108">
        <v>1</v>
      </c>
      <c r="U23" s="112"/>
    </row>
    <row r="24" spans="1:21">
      <c r="A24" s="99">
        <v>11</v>
      </c>
      <c r="B24" s="111" t="s">
        <v>284</v>
      </c>
      <c r="C24" s="111"/>
      <c r="D24" s="102" t="s">
        <v>282</v>
      </c>
      <c r="E24" s="103">
        <v>0</v>
      </c>
      <c r="F24" s="104">
        <v>0</v>
      </c>
      <c r="G24" s="105">
        <v>160000</v>
      </c>
      <c r="H24" s="105"/>
      <c r="I24" s="105"/>
      <c r="J24" s="105"/>
      <c r="K24" s="105">
        <v>12000</v>
      </c>
      <c r="L24" s="106">
        <v>1</v>
      </c>
      <c r="M24" s="106"/>
      <c r="N24" s="106"/>
      <c r="O24" s="106"/>
      <c r="P24" s="106"/>
      <c r="Q24" s="294">
        <f t="shared" si="2"/>
        <v>160000</v>
      </c>
      <c r="R24" s="106">
        <v>217500</v>
      </c>
      <c r="S24" s="107">
        <v>1</v>
      </c>
      <c r="T24" s="108">
        <v>1</v>
      </c>
      <c r="U24" s="112"/>
    </row>
    <row r="25" spans="1:21">
      <c r="A25" s="99">
        <v>11</v>
      </c>
      <c r="B25" s="111" t="s">
        <v>285</v>
      </c>
      <c r="C25" s="111"/>
      <c r="D25" s="102" t="s">
        <v>282</v>
      </c>
      <c r="E25" s="103">
        <v>0</v>
      </c>
      <c r="F25" s="104">
        <v>0</v>
      </c>
      <c r="G25" s="105">
        <v>160000</v>
      </c>
      <c r="H25" s="105"/>
      <c r="I25" s="105"/>
      <c r="J25" s="105"/>
      <c r="K25" s="105">
        <v>12000</v>
      </c>
      <c r="L25" s="106">
        <v>1</v>
      </c>
      <c r="M25" s="106"/>
      <c r="N25" s="106"/>
      <c r="O25" s="106"/>
      <c r="P25" s="106"/>
      <c r="Q25" s="294">
        <f t="shared" si="2"/>
        <v>160000</v>
      </c>
      <c r="R25" s="106">
        <v>217500</v>
      </c>
      <c r="S25" s="107">
        <v>1</v>
      </c>
      <c r="T25" s="108">
        <v>1</v>
      </c>
      <c r="U25" s="112"/>
    </row>
    <row r="26" spans="1:21">
      <c r="A26" s="99">
        <v>11</v>
      </c>
      <c r="B26" s="111" t="s">
        <v>286</v>
      </c>
      <c r="C26" s="111"/>
      <c r="D26" s="102" t="s">
        <v>282</v>
      </c>
      <c r="E26" s="103">
        <v>0</v>
      </c>
      <c r="F26" s="104">
        <v>0</v>
      </c>
      <c r="G26" s="105">
        <v>160000</v>
      </c>
      <c r="H26" s="105"/>
      <c r="I26" s="105"/>
      <c r="J26" s="105"/>
      <c r="K26" s="105">
        <v>12000</v>
      </c>
      <c r="L26" s="106">
        <v>1</v>
      </c>
      <c r="M26" s="106"/>
      <c r="N26" s="106"/>
      <c r="O26" s="106"/>
      <c r="P26" s="106"/>
      <c r="Q26" s="294">
        <f t="shared" si="2"/>
        <v>160000</v>
      </c>
      <c r="R26" s="106">
        <v>217500</v>
      </c>
      <c r="S26" s="107">
        <v>1</v>
      </c>
      <c r="T26" s="108">
        <v>1</v>
      </c>
      <c r="U26" s="112"/>
    </row>
    <row r="27" spans="1:21">
      <c r="A27" s="99">
        <v>11</v>
      </c>
      <c r="B27" s="111" t="s">
        <v>287</v>
      </c>
      <c r="C27" s="111"/>
      <c r="D27" s="102" t="s">
        <v>282</v>
      </c>
      <c r="E27" s="103">
        <v>0</v>
      </c>
      <c r="F27" s="104">
        <v>0</v>
      </c>
      <c r="G27" s="105">
        <v>160000</v>
      </c>
      <c r="H27" s="105"/>
      <c r="I27" s="105"/>
      <c r="J27" s="105"/>
      <c r="K27" s="105">
        <v>12000</v>
      </c>
      <c r="L27" s="106">
        <v>1</v>
      </c>
      <c r="M27" s="106"/>
      <c r="N27" s="106"/>
      <c r="O27" s="106"/>
      <c r="P27" s="106"/>
      <c r="Q27" s="294">
        <f t="shared" si="2"/>
        <v>160000</v>
      </c>
      <c r="R27" s="106">
        <v>217500</v>
      </c>
      <c r="S27" s="107">
        <v>1</v>
      </c>
      <c r="T27" s="108">
        <v>1</v>
      </c>
      <c r="U27" s="112"/>
    </row>
    <row r="28" spans="1:21">
      <c r="A28" s="99">
        <v>11</v>
      </c>
      <c r="B28" s="111" t="s">
        <v>288</v>
      </c>
      <c r="C28" s="111"/>
      <c r="D28" s="102" t="s">
        <v>282</v>
      </c>
      <c r="E28" s="103">
        <v>0</v>
      </c>
      <c r="F28" s="104">
        <v>0</v>
      </c>
      <c r="G28" s="105">
        <v>160000</v>
      </c>
      <c r="H28" s="105"/>
      <c r="I28" s="105"/>
      <c r="J28" s="105"/>
      <c r="K28" s="105">
        <v>12000</v>
      </c>
      <c r="L28" s="106">
        <v>1</v>
      </c>
      <c r="M28" s="106"/>
      <c r="N28" s="106"/>
      <c r="O28" s="106"/>
      <c r="P28" s="106"/>
      <c r="Q28" s="294">
        <f t="shared" si="2"/>
        <v>160000</v>
      </c>
      <c r="R28" s="106">
        <v>217500</v>
      </c>
      <c r="S28" s="107">
        <v>1</v>
      </c>
      <c r="T28" s="108">
        <v>1</v>
      </c>
      <c r="U28" s="112"/>
    </row>
    <row r="29" spans="1:21">
      <c r="A29" s="99">
        <v>11</v>
      </c>
      <c r="B29" s="111" t="s">
        <v>289</v>
      </c>
      <c r="C29" s="111"/>
      <c r="D29" s="102" t="s">
        <v>282</v>
      </c>
      <c r="E29" s="103">
        <v>0</v>
      </c>
      <c r="F29" s="104">
        <v>0</v>
      </c>
      <c r="G29" s="105">
        <v>160000</v>
      </c>
      <c r="H29" s="105"/>
      <c r="I29" s="105"/>
      <c r="J29" s="105"/>
      <c r="K29" s="105">
        <v>12000</v>
      </c>
      <c r="L29" s="106">
        <v>1</v>
      </c>
      <c r="M29" s="106"/>
      <c r="N29" s="106"/>
      <c r="O29" s="106"/>
      <c r="P29" s="106"/>
      <c r="Q29" s="294">
        <f>160000-35000</f>
        <v>125000</v>
      </c>
      <c r="R29" s="106">
        <v>217500</v>
      </c>
      <c r="S29" s="107">
        <v>1</v>
      </c>
      <c r="T29" s="108">
        <v>1</v>
      </c>
      <c r="U29" s="112"/>
    </row>
    <row r="30" spans="1:21">
      <c r="A30" s="99">
        <v>12</v>
      </c>
      <c r="B30" s="111" t="s">
        <v>297</v>
      </c>
      <c r="C30" s="101" t="s">
        <v>298</v>
      </c>
      <c r="D30" s="102" t="s">
        <v>277</v>
      </c>
      <c r="E30" s="103">
        <v>5344476</v>
      </c>
      <c r="F30" s="104">
        <v>0</v>
      </c>
      <c r="G30" s="105"/>
      <c r="H30" s="105">
        <v>85000</v>
      </c>
      <c r="I30" s="105">
        <v>48000</v>
      </c>
      <c r="J30" s="105">
        <v>20000</v>
      </c>
      <c r="K30" s="105">
        <v>12000</v>
      </c>
      <c r="L30" s="106"/>
      <c r="M30" s="106">
        <v>20</v>
      </c>
      <c r="N30" s="106">
        <v>20</v>
      </c>
      <c r="O30" s="106">
        <v>20</v>
      </c>
      <c r="P30" s="106"/>
      <c r="Q30" s="294">
        <f>+L30*G30+M30*H30+N30*I30+O30*J30+P30*K30</f>
        <v>3060000</v>
      </c>
      <c r="R30" s="106">
        <v>3060000</v>
      </c>
      <c r="S30" s="107">
        <v>1</v>
      </c>
      <c r="T30" s="108">
        <v>1</v>
      </c>
      <c r="U30" s="112"/>
    </row>
    <row r="31" spans="1:21">
      <c r="A31" s="99">
        <v>13</v>
      </c>
      <c r="B31" s="111" t="s">
        <v>299</v>
      </c>
      <c r="C31" s="101" t="s">
        <v>300</v>
      </c>
      <c r="D31" s="102" t="s">
        <v>301</v>
      </c>
      <c r="E31" s="103">
        <v>1028073</v>
      </c>
      <c r="F31" s="104">
        <v>0</v>
      </c>
      <c r="G31" s="105"/>
      <c r="H31" s="105"/>
      <c r="I31" s="105"/>
      <c r="J31" s="105"/>
      <c r="K31" s="105">
        <v>12000</v>
      </c>
      <c r="L31" s="106"/>
      <c r="M31" s="106"/>
      <c r="N31" s="106"/>
      <c r="O31" s="106"/>
      <c r="P31" s="106">
        <v>100</v>
      </c>
      <c r="Q31" s="294">
        <f t="shared" ref="Q31:Q57" si="3">+L31*G31+M31*H31+N31*I31+O31*J31+P31*K31</f>
        <v>1200000</v>
      </c>
      <c r="R31" s="106">
        <v>1200000</v>
      </c>
      <c r="S31" s="107">
        <v>1</v>
      </c>
      <c r="T31" s="108">
        <v>1</v>
      </c>
      <c r="U31" s="112"/>
    </row>
    <row r="32" spans="1:21">
      <c r="A32" s="99">
        <v>14</v>
      </c>
      <c r="B32" s="111" t="s">
        <v>302</v>
      </c>
      <c r="C32" s="101" t="s">
        <v>303</v>
      </c>
      <c r="D32" s="102" t="s">
        <v>272</v>
      </c>
      <c r="E32" s="103">
        <v>5906261</v>
      </c>
      <c r="F32" s="104">
        <v>0</v>
      </c>
      <c r="G32" s="105"/>
      <c r="H32" s="105">
        <v>85000</v>
      </c>
      <c r="I32" s="105">
        <v>48000</v>
      </c>
      <c r="J32" s="105">
        <v>20000</v>
      </c>
      <c r="K32" s="105">
        <v>12000</v>
      </c>
      <c r="L32" s="106"/>
      <c r="M32" s="106">
        <v>30</v>
      </c>
      <c r="N32" s="106">
        <v>50</v>
      </c>
      <c r="O32" s="106">
        <v>50</v>
      </c>
      <c r="P32" s="106"/>
      <c r="Q32" s="294">
        <f t="shared" si="3"/>
        <v>5950000</v>
      </c>
      <c r="R32" s="106">
        <v>5950000</v>
      </c>
      <c r="S32" s="107">
        <v>1</v>
      </c>
      <c r="T32" s="108">
        <v>1</v>
      </c>
      <c r="U32" s="112"/>
    </row>
    <row r="33" spans="1:21">
      <c r="A33" s="113">
        <v>16</v>
      </c>
      <c r="B33" s="111" t="s">
        <v>306</v>
      </c>
      <c r="C33" s="101" t="s">
        <v>307</v>
      </c>
      <c r="D33" s="102" t="s">
        <v>272</v>
      </c>
      <c r="E33" s="103">
        <v>5906261</v>
      </c>
      <c r="F33" s="104">
        <v>0</v>
      </c>
      <c r="G33" s="105">
        <v>160000</v>
      </c>
      <c r="H33" s="105">
        <v>85000</v>
      </c>
      <c r="I33" s="105">
        <v>48000</v>
      </c>
      <c r="J33" s="105">
        <v>20000</v>
      </c>
      <c r="K33" s="105">
        <v>12000</v>
      </c>
      <c r="L33" s="106">
        <v>10</v>
      </c>
      <c r="M33" s="106">
        <v>20</v>
      </c>
      <c r="N33" s="106">
        <v>30</v>
      </c>
      <c r="O33" s="106">
        <v>30</v>
      </c>
      <c r="P33" s="106"/>
      <c r="Q33" s="294">
        <f t="shared" si="3"/>
        <v>5340000</v>
      </c>
      <c r="R33" s="106">
        <v>5340000</v>
      </c>
      <c r="S33" s="107">
        <v>1</v>
      </c>
      <c r="T33" s="108">
        <v>1</v>
      </c>
      <c r="U33" s="112"/>
    </row>
    <row r="34" spans="1:21">
      <c r="A34" s="113">
        <v>17</v>
      </c>
      <c r="B34" s="111" t="s">
        <v>308</v>
      </c>
      <c r="C34" s="101" t="s">
        <v>309</v>
      </c>
      <c r="D34" s="102" t="s">
        <v>310</v>
      </c>
      <c r="E34" s="103">
        <v>5734258</v>
      </c>
      <c r="F34" s="104">
        <v>0</v>
      </c>
      <c r="G34" s="105">
        <v>160000</v>
      </c>
      <c r="H34" s="105">
        <v>85000</v>
      </c>
      <c r="I34" s="105">
        <v>48000</v>
      </c>
      <c r="J34" s="105">
        <v>20000</v>
      </c>
      <c r="K34" s="105">
        <v>12000</v>
      </c>
      <c r="L34" s="106"/>
      <c r="M34" s="106"/>
      <c r="N34" s="106">
        <v>50</v>
      </c>
      <c r="O34" s="106">
        <v>50</v>
      </c>
      <c r="P34" s="106"/>
      <c r="Q34" s="294">
        <f t="shared" si="3"/>
        <v>3400000</v>
      </c>
      <c r="R34" s="106">
        <v>3400000</v>
      </c>
      <c r="S34" s="107">
        <v>1</v>
      </c>
      <c r="T34" s="108">
        <v>1</v>
      </c>
      <c r="U34" s="112" t="s">
        <v>311</v>
      </c>
    </row>
    <row r="35" spans="1:21">
      <c r="A35" s="113">
        <v>18</v>
      </c>
      <c r="B35" s="111" t="s">
        <v>312</v>
      </c>
      <c r="C35" s="101" t="s">
        <v>313</v>
      </c>
      <c r="D35" s="102" t="s">
        <v>277</v>
      </c>
      <c r="E35" s="103">
        <v>5344476</v>
      </c>
      <c r="F35" s="104">
        <v>0</v>
      </c>
      <c r="G35" s="105">
        <v>160000</v>
      </c>
      <c r="H35" s="105">
        <v>85000</v>
      </c>
      <c r="I35" s="105">
        <v>48000</v>
      </c>
      <c r="J35" s="105">
        <v>20000</v>
      </c>
      <c r="K35" s="105">
        <v>12000</v>
      </c>
      <c r="L35" s="106"/>
      <c r="M35" s="106"/>
      <c r="N35" s="106">
        <v>20</v>
      </c>
      <c r="O35" s="106">
        <v>15</v>
      </c>
      <c r="P35" s="106"/>
      <c r="Q35" s="294">
        <f t="shared" si="3"/>
        <v>1260000</v>
      </c>
      <c r="R35" s="106"/>
      <c r="S35" s="107"/>
      <c r="T35" s="108"/>
      <c r="U35" s="112"/>
    </row>
    <row r="36" spans="1:21">
      <c r="A36" s="113">
        <v>19</v>
      </c>
      <c r="B36" s="111" t="s">
        <v>314</v>
      </c>
      <c r="C36" s="101" t="s">
        <v>315</v>
      </c>
      <c r="D36" s="102" t="s">
        <v>272</v>
      </c>
      <c r="E36" s="103">
        <v>5906261</v>
      </c>
      <c r="F36" s="104">
        <v>0</v>
      </c>
      <c r="G36" s="105">
        <v>160000</v>
      </c>
      <c r="H36" s="105">
        <v>85000</v>
      </c>
      <c r="I36" s="105">
        <v>48000</v>
      </c>
      <c r="J36" s="105">
        <v>20000</v>
      </c>
      <c r="K36" s="105">
        <v>12000</v>
      </c>
      <c r="L36" s="106">
        <v>20</v>
      </c>
      <c r="M36" s="106">
        <v>30</v>
      </c>
      <c r="N36" s="106">
        <v>50</v>
      </c>
      <c r="O36" s="106">
        <v>50</v>
      </c>
      <c r="P36" s="106"/>
      <c r="Q36" s="294">
        <f t="shared" si="3"/>
        <v>9150000</v>
      </c>
      <c r="R36" s="106">
        <v>9150000</v>
      </c>
      <c r="S36" s="107">
        <v>1</v>
      </c>
      <c r="T36" s="108">
        <v>1</v>
      </c>
      <c r="U36" s="112"/>
    </row>
    <row r="37" spans="1:21">
      <c r="A37" s="113">
        <v>20</v>
      </c>
      <c r="B37" s="111" t="s">
        <v>314</v>
      </c>
      <c r="C37" s="101" t="s">
        <v>316</v>
      </c>
      <c r="D37" s="102" t="s">
        <v>317</v>
      </c>
      <c r="E37" s="103">
        <v>4557875</v>
      </c>
      <c r="F37" s="104"/>
      <c r="G37" s="105">
        <v>160000</v>
      </c>
      <c r="H37" s="105">
        <v>85000</v>
      </c>
      <c r="I37" s="105">
        <v>48000</v>
      </c>
      <c r="J37" s="105">
        <v>20000</v>
      </c>
      <c r="K37" s="105">
        <v>12000</v>
      </c>
      <c r="L37" s="106">
        <v>10</v>
      </c>
      <c r="M37" s="106">
        <v>20</v>
      </c>
      <c r="N37" s="106">
        <v>60</v>
      </c>
      <c r="O37" s="106">
        <v>80</v>
      </c>
      <c r="P37" s="106"/>
      <c r="Q37" s="294">
        <f t="shared" si="3"/>
        <v>7780000</v>
      </c>
      <c r="R37" s="106">
        <v>2000000</v>
      </c>
      <c r="S37" s="107"/>
      <c r="T37" s="108"/>
      <c r="U37" s="112"/>
    </row>
    <row r="38" spans="1:21">
      <c r="A38" s="113">
        <v>21</v>
      </c>
      <c r="B38" s="111" t="s">
        <v>318</v>
      </c>
      <c r="C38" s="101" t="s">
        <v>319</v>
      </c>
      <c r="D38" s="102" t="s">
        <v>272</v>
      </c>
      <c r="E38" s="103">
        <v>5906261</v>
      </c>
      <c r="F38" s="104"/>
      <c r="G38" s="105">
        <v>160000</v>
      </c>
      <c r="H38" s="105">
        <v>85000</v>
      </c>
      <c r="I38" s="105">
        <v>48000</v>
      </c>
      <c r="J38" s="105">
        <v>20000</v>
      </c>
      <c r="K38" s="105">
        <v>12000</v>
      </c>
      <c r="L38" s="106">
        <v>20</v>
      </c>
      <c r="M38" s="106">
        <v>30</v>
      </c>
      <c r="N38" s="106">
        <v>50</v>
      </c>
      <c r="O38" s="106">
        <v>50</v>
      </c>
      <c r="P38" s="106"/>
      <c r="Q38" s="294">
        <f t="shared" si="3"/>
        <v>9150000</v>
      </c>
      <c r="R38" s="106">
        <v>9150000</v>
      </c>
      <c r="S38" s="107">
        <v>1</v>
      </c>
      <c r="T38" s="108">
        <v>1</v>
      </c>
      <c r="U38" s="112"/>
    </row>
    <row r="39" spans="1:21">
      <c r="A39" s="113">
        <v>22</v>
      </c>
      <c r="B39" s="111" t="s">
        <v>320</v>
      </c>
      <c r="C39" s="101" t="s">
        <v>321</v>
      </c>
      <c r="D39" s="102" t="s">
        <v>272</v>
      </c>
      <c r="E39" s="103">
        <v>5906261</v>
      </c>
      <c r="F39" s="104"/>
      <c r="G39" s="105">
        <v>160000</v>
      </c>
      <c r="H39" s="105">
        <v>85000</v>
      </c>
      <c r="I39" s="105">
        <v>48000</v>
      </c>
      <c r="J39" s="105">
        <v>20000</v>
      </c>
      <c r="K39" s="105">
        <v>12000</v>
      </c>
      <c r="L39" s="106">
        <v>20</v>
      </c>
      <c r="M39" s="106">
        <v>30</v>
      </c>
      <c r="N39" s="106">
        <v>50</v>
      </c>
      <c r="O39" s="106">
        <v>100</v>
      </c>
      <c r="P39" s="106"/>
      <c r="Q39" s="294">
        <f t="shared" si="3"/>
        <v>10150000</v>
      </c>
      <c r="R39" s="106">
        <v>10150000</v>
      </c>
      <c r="S39" s="107">
        <v>1</v>
      </c>
      <c r="T39" s="108">
        <v>1</v>
      </c>
      <c r="U39" s="112"/>
    </row>
    <row r="40" spans="1:21">
      <c r="A40" s="113">
        <v>23</v>
      </c>
      <c r="B40" s="111" t="s">
        <v>322</v>
      </c>
      <c r="C40" s="101" t="s">
        <v>323</v>
      </c>
      <c r="D40" s="102" t="s">
        <v>263</v>
      </c>
      <c r="E40" s="103">
        <v>2073854</v>
      </c>
      <c r="F40" s="104"/>
      <c r="G40" s="105">
        <v>121000</v>
      </c>
      <c r="H40" s="105">
        <v>85000</v>
      </c>
      <c r="I40" s="105">
        <v>48000</v>
      </c>
      <c r="J40" s="105">
        <v>20000</v>
      </c>
      <c r="K40" s="105">
        <v>12000</v>
      </c>
      <c r="L40" s="106">
        <v>200</v>
      </c>
      <c r="M40" s="106"/>
      <c r="N40" s="106"/>
      <c r="O40" s="106"/>
      <c r="P40" s="106"/>
      <c r="Q40" s="294">
        <f t="shared" si="3"/>
        <v>24200000</v>
      </c>
      <c r="R40" s="106">
        <v>24200000</v>
      </c>
      <c r="S40" s="107">
        <v>1</v>
      </c>
      <c r="T40" s="108">
        <v>1</v>
      </c>
      <c r="U40" s="112"/>
    </row>
    <row r="41" spans="1:21">
      <c r="A41" s="113">
        <v>24</v>
      </c>
      <c r="B41" s="111" t="s">
        <v>324</v>
      </c>
      <c r="C41" s="101" t="s">
        <v>325</v>
      </c>
      <c r="D41" s="102" t="s">
        <v>272</v>
      </c>
      <c r="E41" s="103">
        <v>5906261</v>
      </c>
      <c r="F41" s="104"/>
      <c r="G41" s="105">
        <v>160000</v>
      </c>
      <c r="H41" s="105">
        <v>85000</v>
      </c>
      <c r="I41" s="105">
        <v>48000</v>
      </c>
      <c r="J41" s="105">
        <v>20000</v>
      </c>
      <c r="K41" s="105">
        <v>12000</v>
      </c>
      <c r="L41" s="106"/>
      <c r="M41" s="106">
        <v>30</v>
      </c>
      <c r="N41" s="106">
        <v>50</v>
      </c>
      <c r="O41" s="106">
        <v>100</v>
      </c>
      <c r="P41" s="106"/>
      <c r="Q41" s="294">
        <f t="shared" si="3"/>
        <v>6950000</v>
      </c>
      <c r="R41" s="106">
        <v>6950000</v>
      </c>
      <c r="S41" s="107">
        <v>1</v>
      </c>
      <c r="T41" s="108">
        <v>1</v>
      </c>
      <c r="U41" s="112"/>
    </row>
    <row r="42" spans="1:21">
      <c r="A42" s="113">
        <v>25</v>
      </c>
      <c r="B42" s="111" t="s">
        <v>326</v>
      </c>
      <c r="C42" s="101" t="s">
        <v>327</v>
      </c>
      <c r="D42" s="102" t="s">
        <v>272</v>
      </c>
      <c r="E42" s="103">
        <v>5906261</v>
      </c>
      <c r="F42" s="104"/>
      <c r="G42" s="105">
        <v>160000</v>
      </c>
      <c r="H42" s="105">
        <v>85000</v>
      </c>
      <c r="I42" s="105">
        <v>48000</v>
      </c>
      <c r="J42" s="105">
        <v>20000</v>
      </c>
      <c r="K42" s="105">
        <v>12000</v>
      </c>
      <c r="L42" s="106"/>
      <c r="M42" s="106">
        <v>50</v>
      </c>
      <c r="N42" s="106">
        <v>50</v>
      </c>
      <c r="O42" s="106">
        <v>50</v>
      </c>
      <c r="P42" s="106"/>
      <c r="Q42" s="294">
        <f>+L42*G42+M42*H42+N42*I42+O42*J42+P42*K42</f>
        <v>7650000</v>
      </c>
      <c r="R42" s="106">
        <v>7650000</v>
      </c>
      <c r="S42" s="107">
        <v>1</v>
      </c>
      <c r="T42" s="108">
        <v>1</v>
      </c>
      <c r="U42" s="112"/>
    </row>
    <row r="43" spans="1:21">
      <c r="A43" s="113">
        <v>26</v>
      </c>
      <c r="B43" s="111" t="s">
        <v>328</v>
      </c>
      <c r="C43" s="101" t="s">
        <v>329</v>
      </c>
      <c r="D43" s="102" t="s">
        <v>272</v>
      </c>
      <c r="E43" s="103">
        <v>5906261</v>
      </c>
      <c r="F43" s="104"/>
      <c r="G43" s="105">
        <v>160000</v>
      </c>
      <c r="H43" s="105">
        <v>85000</v>
      </c>
      <c r="I43" s="105">
        <v>48000</v>
      </c>
      <c r="J43" s="105">
        <v>20000</v>
      </c>
      <c r="K43" s="105">
        <v>12000</v>
      </c>
      <c r="L43" s="106"/>
      <c r="M43" s="106">
        <v>20</v>
      </c>
      <c r="N43" s="106">
        <v>50</v>
      </c>
      <c r="O43" s="106">
        <v>100</v>
      </c>
      <c r="P43" s="106"/>
      <c r="Q43" s="294">
        <f t="shared" si="3"/>
        <v>6100000</v>
      </c>
      <c r="R43" s="106">
        <v>6100000</v>
      </c>
      <c r="S43" s="107">
        <v>1</v>
      </c>
      <c r="T43" s="108">
        <v>1</v>
      </c>
      <c r="U43" s="112"/>
    </row>
    <row r="44" spans="1:21">
      <c r="A44" s="113">
        <v>27</v>
      </c>
      <c r="B44" s="111" t="s">
        <v>330</v>
      </c>
      <c r="C44" s="101" t="s">
        <v>331</v>
      </c>
      <c r="D44" s="102" t="s">
        <v>332</v>
      </c>
      <c r="E44" s="103">
        <v>6155804</v>
      </c>
      <c r="F44" s="104"/>
      <c r="G44" s="105">
        <v>160000</v>
      </c>
      <c r="H44" s="105">
        <v>85000</v>
      </c>
      <c r="I44" s="105">
        <v>48000</v>
      </c>
      <c r="J44" s="105">
        <v>20000</v>
      </c>
      <c r="K44" s="105">
        <v>12000</v>
      </c>
      <c r="L44" s="106"/>
      <c r="M44" s="106"/>
      <c r="N44" s="106"/>
      <c r="O44" s="106"/>
      <c r="P44" s="106">
        <v>500</v>
      </c>
      <c r="Q44" s="294">
        <f t="shared" si="3"/>
        <v>6000000</v>
      </c>
      <c r="R44" s="114"/>
      <c r="S44" s="107">
        <v>1</v>
      </c>
      <c r="T44" s="108">
        <v>1</v>
      </c>
      <c r="U44" s="112"/>
    </row>
    <row r="45" spans="1:21">
      <c r="A45" s="113">
        <v>28</v>
      </c>
      <c r="B45" s="111" t="s">
        <v>333</v>
      </c>
      <c r="C45" s="101" t="s">
        <v>334</v>
      </c>
      <c r="D45" s="102" t="s">
        <v>332</v>
      </c>
      <c r="E45" s="103">
        <v>6155804</v>
      </c>
      <c r="F45" s="104"/>
      <c r="G45" s="105">
        <v>160000</v>
      </c>
      <c r="H45" s="105">
        <v>85000</v>
      </c>
      <c r="I45" s="105">
        <v>48000</v>
      </c>
      <c r="J45" s="105">
        <v>20000</v>
      </c>
      <c r="K45" s="105">
        <v>12000</v>
      </c>
      <c r="L45" s="106"/>
      <c r="M45" s="106"/>
      <c r="N45" s="106"/>
      <c r="O45" s="106"/>
      <c r="P45" s="106">
        <v>300</v>
      </c>
      <c r="Q45" s="294">
        <f t="shared" si="3"/>
        <v>3600000</v>
      </c>
      <c r="R45" s="114">
        <v>8160000</v>
      </c>
      <c r="S45" s="107">
        <v>1</v>
      </c>
      <c r="T45" s="108">
        <v>1</v>
      </c>
      <c r="U45" s="112"/>
    </row>
    <row r="46" spans="1:21">
      <c r="A46" s="113">
        <v>30</v>
      </c>
      <c r="B46" s="111" t="s">
        <v>337</v>
      </c>
      <c r="C46" s="101" t="s">
        <v>338</v>
      </c>
      <c r="D46" s="102" t="s">
        <v>272</v>
      </c>
      <c r="E46" s="103">
        <v>5906261</v>
      </c>
      <c r="F46" s="104"/>
      <c r="G46" s="105">
        <v>160000</v>
      </c>
      <c r="H46" s="105">
        <v>85000</v>
      </c>
      <c r="I46" s="105">
        <v>48000</v>
      </c>
      <c r="J46" s="105">
        <v>20000</v>
      </c>
      <c r="K46" s="105">
        <v>12000</v>
      </c>
      <c r="L46" s="106"/>
      <c r="M46" s="106">
        <v>30</v>
      </c>
      <c r="N46" s="106">
        <v>50</v>
      </c>
      <c r="O46" s="106"/>
      <c r="P46" s="106"/>
      <c r="Q46" s="294">
        <f t="shared" si="3"/>
        <v>4950000</v>
      </c>
      <c r="R46" s="106">
        <v>4950000</v>
      </c>
      <c r="S46" s="107">
        <v>1</v>
      </c>
      <c r="T46" s="108">
        <v>1</v>
      </c>
      <c r="U46" s="112"/>
    </row>
    <row r="47" spans="1:21">
      <c r="A47" s="113">
        <v>31</v>
      </c>
      <c r="B47" s="111" t="s">
        <v>102</v>
      </c>
      <c r="C47" s="101" t="s">
        <v>339</v>
      </c>
      <c r="D47" s="102" t="s">
        <v>332</v>
      </c>
      <c r="E47" s="103">
        <v>6155804</v>
      </c>
      <c r="F47" s="104"/>
      <c r="G47" s="105">
        <v>160000</v>
      </c>
      <c r="H47" s="105">
        <v>85000</v>
      </c>
      <c r="I47" s="105">
        <v>48000</v>
      </c>
      <c r="J47" s="105">
        <v>20000</v>
      </c>
      <c r="K47" s="105">
        <v>12000</v>
      </c>
      <c r="L47" s="106"/>
      <c r="M47" s="106"/>
      <c r="N47" s="106"/>
      <c r="O47" s="106"/>
      <c r="P47" s="106">
        <v>300</v>
      </c>
      <c r="Q47" s="294">
        <f t="shared" si="3"/>
        <v>3600000</v>
      </c>
      <c r="R47" s="114"/>
      <c r="S47" s="265"/>
      <c r="T47" s="115"/>
      <c r="U47" s="112"/>
    </row>
    <row r="48" spans="1:21">
      <c r="A48" s="113">
        <v>32</v>
      </c>
      <c r="B48" s="111" t="s">
        <v>340</v>
      </c>
      <c r="C48" s="101" t="s">
        <v>341</v>
      </c>
      <c r="D48" s="102" t="s">
        <v>332</v>
      </c>
      <c r="E48" s="103">
        <v>6155804</v>
      </c>
      <c r="F48" s="104"/>
      <c r="G48" s="105">
        <v>160000</v>
      </c>
      <c r="H48" s="105">
        <v>85000</v>
      </c>
      <c r="I48" s="105">
        <v>48000</v>
      </c>
      <c r="J48" s="105">
        <v>20000</v>
      </c>
      <c r="K48" s="105">
        <v>12000</v>
      </c>
      <c r="L48" s="106"/>
      <c r="M48" s="106"/>
      <c r="N48" s="106"/>
      <c r="O48" s="106"/>
      <c r="P48" s="106">
        <v>400</v>
      </c>
      <c r="Q48" s="294">
        <f t="shared" si="3"/>
        <v>4800000</v>
      </c>
      <c r="R48" s="114"/>
      <c r="S48" s="265"/>
      <c r="T48" s="115"/>
      <c r="U48" s="112"/>
    </row>
    <row r="49" spans="1:22">
      <c r="A49" s="113">
        <v>33</v>
      </c>
      <c r="B49" s="111" t="s">
        <v>342</v>
      </c>
      <c r="C49" s="101" t="s">
        <v>343</v>
      </c>
      <c r="D49" s="102" t="s">
        <v>332</v>
      </c>
      <c r="E49" s="103">
        <v>6155804</v>
      </c>
      <c r="F49" s="104"/>
      <c r="G49" s="105">
        <v>160000</v>
      </c>
      <c r="H49" s="105">
        <v>85000</v>
      </c>
      <c r="I49" s="105">
        <v>48000</v>
      </c>
      <c r="J49" s="105">
        <v>20000</v>
      </c>
      <c r="K49" s="105">
        <v>12000</v>
      </c>
      <c r="L49" s="106"/>
      <c r="M49" s="106"/>
      <c r="N49" s="106"/>
      <c r="O49" s="106"/>
      <c r="P49" s="106">
        <v>100</v>
      </c>
      <c r="Q49" s="294">
        <f t="shared" si="3"/>
        <v>1200000</v>
      </c>
      <c r="R49" s="114"/>
      <c r="S49" s="107"/>
      <c r="T49" s="115"/>
      <c r="U49" s="112"/>
    </row>
    <row r="50" spans="1:22">
      <c r="A50" s="113">
        <v>34</v>
      </c>
      <c r="B50" s="111" t="s">
        <v>342</v>
      </c>
      <c r="C50" s="101" t="s">
        <v>344</v>
      </c>
      <c r="D50" s="102" t="s">
        <v>272</v>
      </c>
      <c r="E50" s="103">
        <v>5906261</v>
      </c>
      <c r="F50" s="104"/>
      <c r="G50" s="105">
        <v>160000</v>
      </c>
      <c r="H50" s="105">
        <v>85000</v>
      </c>
      <c r="I50" s="105">
        <v>48000</v>
      </c>
      <c r="J50" s="105">
        <v>20000</v>
      </c>
      <c r="K50" s="105">
        <v>12000</v>
      </c>
      <c r="L50" s="106"/>
      <c r="M50" s="106">
        <v>10</v>
      </c>
      <c r="N50" s="106">
        <v>30</v>
      </c>
      <c r="O50" s="106">
        <v>50</v>
      </c>
      <c r="P50" s="106"/>
      <c r="Q50" s="294">
        <f>+L50*G50+M50*H50+N50*I50+O50*J50+P50*K50</f>
        <v>3290000</v>
      </c>
      <c r="R50" s="106">
        <v>3290000</v>
      </c>
      <c r="S50" s="107">
        <v>1</v>
      </c>
      <c r="T50" s="108">
        <v>1</v>
      </c>
      <c r="U50" s="112"/>
    </row>
    <row r="51" spans="1:22">
      <c r="A51" s="113">
        <v>35</v>
      </c>
      <c r="B51" s="111" t="s">
        <v>345</v>
      </c>
      <c r="C51" s="101" t="s">
        <v>346</v>
      </c>
      <c r="D51" s="102" t="s">
        <v>332</v>
      </c>
      <c r="E51" s="103">
        <v>6155804</v>
      </c>
      <c r="F51" s="104"/>
      <c r="G51" s="105">
        <v>160000</v>
      </c>
      <c r="H51" s="105">
        <v>85000</v>
      </c>
      <c r="I51" s="105">
        <v>48000</v>
      </c>
      <c r="J51" s="105">
        <v>20000</v>
      </c>
      <c r="K51" s="105">
        <v>12000</v>
      </c>
      <c r="L51" s="106"/>
      <c r="M51" s="106"/>
      <c r="N51" s="106"/>
      <c r="O51" s="106"/>
      <c r="P51" s="106">
        <v>60</v>
      </c>
      <c r="Q51" s="294">
        <f t="shared" si="3"/>
        <v>720000</v>
      </c>
      <c r="R51" s="114"/>
      <c r="S51" s="107"/>
      <c r="T51" s="115"/>
      <c r="U51" s="112"/>
    </row>
    <row r="52" spans="1:22">
      <c r="A52" s="113">
        <v>36</v>
      </c>
      <c r="B52" s="111" t="s">
        <v>347</v>
      </c>
      <c r="C52" s="101" t="s">
        <v>348</v>
      </c>
      <c r="D52" s="102" t="s">
        <v>332</v>
      </c>
      <c r="E52" s="103">
        <v>6155804</v>
      </c>
      <c r="F52" s="104"/>
      <c r="G52" s="105">
        <v>160000</v>
      </c>
      <c r="H52" s="105">
        <v>85000</v>
      </c>
      <c r="I52" s="105">
        <v>48000</v>
      </c>
      <c r="J52" s="105">
        <v>20000</v>
      </c>
      <c r="K52" s="105">
        <v>12000</v>
      </c>
      <c r="L52" s="106"/>
      <c r="M52" s="106"/>
      <c r="N52" s="106"/>
      <c r="O52" s="106"/>
      <c r="P52" s="106">
        <v>300</v>
      </c>
      <c r="Q52" s="294">
        <f t="shared" si="3"/>
        <v>3600000</v>
      </c>
      <c r="R52" s="114">
        <v>9048000</v>
      </c>
      <c r="S52" s="107">
        <v>1</v>
      </c>
      <c r="T52" s="108">
        <v>1</v>
      </c>
      <c r="U52" s="112"/>
    </row>
    <row r="53" spans="1:22">
      <c r="A53" s="113">
        <v>37</v>
      </c>
      <c r="B53" s="111" t="s">
        <v>349</v>
      </c>
      <c r="C53" s="101" t="s">
        <v>350</v>
      </c>
      <c r="D53" s="102" t="s">
        <v>272</v>
      </c>
      <c r="E53" s="103">
        <v>5906261</v>
      </c>
      <c r="F53" s="104"/>
      <c r="G53" s="105">
        <v>160000</v>
      </c>
      <c r="H53" s="105">
        <v>85000</v>
      </c>
      <c r="I53" s="105">
        <v>48000</v>
      </c>
      <c r="J53" s="105">
        <v>20000</v>
      </c>
      <c r="K53" s="105"/>
      <c r="L53" s="106"/>
      <c r="M53" s="106">
        <v>30</v>
      </c>
      <c r="N53" s="106">
        <v>50</v>
      </c>
      <c r="O53" s="106">
        <v>50</v>
      </c>
      <c r="P53" s="106"/>
      <c r="Q53" s="294">
        <f t="shared" si="3"/>
        <v>5950000</v>
      </c>
      <c r="R53" s="106">
        <v>5950000</v>
      </c>
      <c r="S53" s="107"/>
      <c r="T53" s="115"/>
      <c r="U53" s="112"/>
    </row>
    <row r="54" spans="1:22">
      <c r="A54" s="113">
        <v>38</v>
      </c>
      <c r="B54" s="111" t="s">
        <v>351</v>
      </c>
      <c r="C54" s="101" t="s">
        <v>352</v>
      </c>
      <c r="D54" s="102" t="s">
        <v>272</v>
      </c>
      <c r="E54" s="103">
        <v>5906261</v>
      </c>
      <c r="F54" s="104"/>
      <c r="G54" s="105">
        <v>160000</v>
      </c>
      <c r="H54" s="105">
        <v>85000</v>
      </c>
      <c r="I54" s="105">
        <v>48000</v>
      </c>
      <c r="J54" s="105">
        <v>20000</v>
      </c>
      <c r="K54" s="105"/>
      <c r="L54" s="106"/>
      <c r="M54" s="106">
        <v>30</v>
      </c>
      <c r="N54" s="106">
        <v>50</v>
      </c>
      <c r="O54" s="106">
        <v>50</v>
      </c>
      <c r="P54" s="106"/>
      <c r="Q54" s="294">
        <f t="shared" si="3"/>
        <v>5950000</v>
      </c>
      <c r="R54" s="106"/>
      <c r="S54" s="107"/>
      <c r="T54" s="115"/>
      <c r="U54" s="112"/>
    </row>
    <row r="55" spans="1:22">
      <c r="A55" s="113">
        <v>39</v>
      </c>
      <c r="B55" s="111" t="s">
        <v>351</v>
      </c>
      <c r="C55" s="101" t="s">
        <v>353</v>
      </c>
      <c r="D55" s="102" t="s">
        <v>354</v>
      </c>
      <c r="E55" s="103">
        <v>7151713</v>
      </c>
      <c r="F55" s="104"/>
      <c r="G55" s="105">
        <v>160000</v>
      </c>
      <c r="H55" s="105">
        <v>85000</v>
      </c>
      <c r="I55" s="105">
        <v>48000</v>
      </c>
      <c r="J55" s="105">
        <v>20000</v>
      </c>
      <c r="K55" s="105"/>
      <c r="L55" s="106"/>
      <c r="M55" s="106">
        <v>100</v>
      </c>
      <c r="N55" s="106"/>
      <c r="O55" s="106"/>
      <c r="P55" s="106"/>
      <c r="Q55" s="294">
        <f t="shared" si="3"/>
        <v>8500000</v>
      </c>
      <c r="R55" s="106">
        <v>8500000</v>
      </c>
      <c r="S55" s="107">
        <v>1</v>
      </c>
      <c r="T55" s="108">
        <v>1</v>
      </c>
      <c r="U55" s="112"/>
      <c r="V55" s="89" t="s">
        <v>355</v>
      </c>
    </row>
    <row r="56" spans="1:22">
      <c r="A56" s="113">
        <v>40</v>
      </c>
      <c r="B56" s="111"/>
      <c r="C56" s="101"/>
      <c r="D56" s="102" t="s">
        <v>644</v>
      </c>
      <c r="E56" s="103"/>
      <c r="F56" s="104"/>
      <c r="G56" s="105">
        <v>160000</v>
      </c>
      <c r="H56" s="105">
        <v>85000</v>
      </c>
      <c r="I56" s="105">
        <v>48000</v>
      </c>
      <c r="J56" s="105">
        <v>20000</v>
      </c>
      <c r="K56" s="105">
        <v>12273</v>
      </c>
      <c r="L56" s="106">
        <v>16</v>
      </c>
      <c r="M56" s="106">
        <v>2</v>
      </c>
      <c r="N56" s="106"/>
      <c r="O56" s="106"/>
      <c r="P56" s="106">
        <v>11</v>
      </c>
      <c r="Q56" s="294">
        <f t="shared" si="3"/>
        <v>2865003</v>
      </c>
      <c r="R56" s="106"/>
      <c r="S56" s="107"/>
      <c r="T56" s="115"/>
      <c r="U56" s="112"/>
    </row>
    <row r="57" spans="1:22">
      <c r="A57" s="113">
        <v>41</v>
      </c>
      <c r="B57" s="111"/>
      <c r="C57" s="101"/>
      <c r="D57" s="102" t="s">
        <v>263</v>
      </c>
      <c r="E57" s="103"/>
      <c r="F57" s="104"/>
      <c r="G57" s="105">
        <v>160000</v>
      </c>
      <c r="H57" s="105">
        <v>85000</v>
      </c>
      <c r="I57" s="105">
        <v>48000</v>
      </c>
      <c r="J57" s="105">
        <v>20000</v>
      </c>
      <c r="K57" s="105">
        <v>12000</v>
      </c>
      <c r="L57" s="106">
        <v>11</v>
      </c>
      <c r="M57" s="106"/>
      <c r="N57" s="106"/>
      <c r="O57" s="106"/>
      <c r="P57" s="106"/>
      <c r="Q57" s="294">
        <f t="shared" si="3"/>
        <v>1760000</v>
      </c>
      <c r="R57" s="106"/>
      <c r="S57" s="107"/>
      <c r="T57" s="115"/>
      <c r="U57" s="112"/>
    </row>
    <row r="58" spans="1:22">
      <c r="A58" s="113">
        <v>41</v>
      </c>
      <c r="B58" s="111"/>
      <c r="C58" s="101"/>
      <c r="D58" s="102"/>
      <c r="E58" s="103"/>
      <c r="F58" s="104"/>
      <c r="G58" s="105">
        <v>160000</v>
      </c>
      <c r="H58" s="105">
        <v>85000</v>
      </c>
      <c r="I58" s="105">
        <v>48000</v>
      </c>
      <c r="J58" s="105">
        <v>20000</v>
      </c>
      <c r="K58" s="105">
        <v>12000</v>
      </c>
      <c r="L58" s="106"/>
      <c r="M58" s="106"/>
      <c r="N58" s="106"/>
      <c r="O58" s="106"/>
      <c r="P58" s="106"/>
      <c r="Q58" s="106"/>
      <c r="R58" s="106"/>
      <c r="S58" s="107"/>
      <c r="T58" s="115"/>
      <c r="U58" s="112"/>
    </row>
    <row r="59" spans="1:22">
      <c r="A59" s="769" t="s">
        <v>356</v>
      </c>
      <c r="B59" s="770"/>
      <c r="C59" s="770"/>
      <c r="D59" s="770"/>
      <c r="E59" s="770"/>
      <c r="F59" s="770"/>
      <c r="G59" s="770"/>
      <c r="H59" s="770"/>
      <c r="I59" s="770"/>
      <c r="J59" s="770"/>
      <c r="K59" s="771"/>
      <c r="L59" s="178">
        <f>SUM(L13:L58)</f>
        <v>1235</v>
      </c>
      <c r="M59" s="178">
        <f t="shared" ref="M59:P59" si="4">SUM(M13:M58)</f>
        <v>545</v>
      </c>
      <c r="N59" s="178">
        <f t="shared" si="4"/>
        <v>930</v>
      </c>
      <c r="O59" s="178">
        <f t="shared" si="4"/>
        <v>845</v>
      </c>
      <c r="P59" s="178">
        <f t="shared" si="4"/>
        <v>2071</v>
      </c>
      <c r="Q59" s="179">
        <f>SUM(Q13:Q58)</f>
        <v>293767503</v>
      </c>
      <c r="R59" s="179">
        <f>SUM(R13:R58)</f>
        <v>270278000</v>
      </c>
      <c r="S59" s="116">
        <v>11</v>
      </c>
      <c r="T59" s="115">
        <v>0.76035501869003996</v>
      </c>
      <c r="U59" s="112"/>
    </row>
    <row r="60" spans="1:22">
      <c r="G60" s="118">
        <f>2865000/G58</f>
        <v>17.90625</v>
      </c>
      <c r="H60" s="118">
        <f t="shared" ref="H60:K60" si="5">2865000/H58</f>
        <v>33.705882352941174</v>
      </c>
      <c r="I60" s="118">
        <f t="shared" si="5"/>
        <v>59.6875</v>
      </c>
      <c r="J60" s="118">
        <f t="shared" si="5"/>
        <v>143.25</v>
      </c>
      <c r="K60" s="118">
        <f t="shared" si="5"/>
        <v>238.75</v>
      </c>
      <c r="Q60" s="118">
        <f>2865000-Q56</f>
        <v>-3</v>
      </c>
    </row>
    <row r="61" spans="1:22">
      <c r="L61" s="263">
        <f>135000/11</f>
        <v>12272.727272727272</v>
      </c>
      <c r="Q61" s="117">
        <f>+Q59-Q21</f>
        <v>293550003</v>
      </c>
    </row>
    <row r="62" spans="1:22">
      <c r="Q62" s="118">
        <f>+Q61-Bor!J19-Q21</f>
        <v>23302503</v>
      </c>
      <c r="R62" s="118"/>
    </row>
    <row r="63" spans="1:22">
      <c r="R63" s="118"/>
    </row>
    <row r="67" spans="17:17">
      <c r="Q67" s="89">
        <f>1155-1120</f>
        <v>35</v>
      </c>
    </row>
  </sheetData>
  <autoFilter ref="B11:S62" xr:uid="{36017A6C-3E1D-4A52-AB03-0FCAB59B121B}">
    <filterColumn colId="5" showButton="0"/>
    <filterColumn colId="6" showButton="0"/>
    <filterColumn colId="7" showButton="0"/>
    <filterColumn colId="8" showButton="0"/>
  </autoFilter>
  <mergeCells count="20">
    <mergeCell ref="B2:F2"/>
    <mergeCell ref="A4:B4"/>
    <mergeCell ref="A9:B9"/>
    <mergeCell ref="A11:A12"/>
    <mergeCell ref="B11:B12"/>
    <mergeCell ref="C11:C12"/>
    <mergeCell ref="D11:D12"/>
    <mergeCell ref="E11:E12"/>
    <mergeCell ref="F11:F12"/>
    <mergeCell ref="T11:T12"/>
    <mergeCell ref="G11:K11"/>
    <mergeCell ref="L11:L12"/>
    <mergeCell ref="M11:M12"/>
    <mergeCell ref="N11:N12"/>
    <mergeCell ref="O11:O12"/>
    <mergeCell ref="A59:K59"/>
    <mergeCell ref="P11:P12"/>
    <mergeCell ref="Q11:Q12"/>
    <mergeCell ref="R11:R12"/>
    <mergeCell ref="S11:S12"/>
  </mergeCells>
  <conditionalFormatting sqref="T13:T59">
    <cfRule type="top10" dxfId="1" priority="24" percent="1" bottom="1" rank="10"/>
    <cfRule type="dataBar" priority="25">
      <dataBar>
        <cfvo type="min"/>
        <cfvo type="max"/>
        <color rgb="FF92D050"/>
      </dataBar>
      <extLst>
        <ext xmlns:x14="http://schemas.microsoft.com/office/spreadsheetml/2009/9/main" uri="{B025F937-C7B1-47D3-B67F-A62EFF666E3E}">
          <x14:id>{05153C37-CAFE-42EB-8B94-58835D186CE9}</x14:id>
        </ext>
      </extLst>
    </cfRule>
  </conditionalFormatting>
  <conditionalFormatting sqref="U59">
    <cfRule type="dataBar" priority="11">
      <dataBar>
        <cfvo type="min"/>
        <cfvo type="max"/>
        <color rgb="FFFFFF00"/>
      </dataBar>
      <extLst>
        <ext xmlns:x14="http://schemas.microsoft.com/office/spreadsheetml/2009/9/main" uri="{B025F937-C7B1-47D3-B67F-A62EFF666E3E}">
          <x14:id>{A13E7127-2844-4648-A3A4-89D95DE4B823}</x14:id>
        </ext>
      </extLst>
    </cfRule>
  </conditionalFormatting>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10" id="{8290CBFC-E9DA-43A4-BC87-8FAA5EBD6464}">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S13:S15</xm:sqref>
        </x14:conditionalFormatting>
        <x14:conditionalFormatting xmlns:xm="http://schemas.microsoft.com/office/excel/2006/main">
          <x14:cfRule type="iconSet" priority="4" id="{98982BCD-9A33-4A9A-B141-E723B3D3A566}">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S16</xm:sqref>
        </x14:conditionalFormatting>
        <x14:conditionalFormatting xmlns:xm="http://schemas.microsoft.com/office/excel/2006/main">
          <x14:cfRule type="iconSet" priority="8" id="{E965743F-88D2-4640-8408-D31269457AAA}">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S17:S18</xm:sqref>
        </x14:conditionalFormatting>
        <x14:conditionalFormatting xmlns:xm="http://schemas.microsoft.com/office/excel/2006/main">
          <x14:cfRule type="iconSet" priority="7" id="{CBB9CB99-2867-4333-8067-6BD5F5CF7F1A}">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S19</xm:sqref>
        </x14:conditionalFormatting>
        <x14:conditionalFormatting xmlns:xm="http://schemas.microsoft.com/office/excel/2006/main">
          <x14:cfRule type="iconSet" priority="3" id="{C747A493-98B8-41E9-A126-7F1D787A2E7F}">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S20</xm:sqref>
        </x14:conditionalFormatting>
        <x14:conditionalFormatting xmlns:xm="http://schemas.microsoft.com/office/excel/2006/main">
          <x14:cfRule type="iconSet" priority="2" id="{BB90369F-3664-4FBD-B31A-F8F78C81D80F}">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S21</xm:sqref>
        </x14:conditionalFormatting>
        <x14:conditionalFormatting xmlns:xm="http://schemas.microsoft.com/office/excel/2006/main">
          <x14:cfRule type="iconSet" priority="22" id="{D1C15DA3-ABDE-4AAC-821A-A1CADF83AC6D}">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S22:S58</xm:sqref>
        </x14:conditionalFormatting>
        <x14:conditionalFormatting xmlns:xm="http://schemas.microsoft.com/office/excel/2006/main">
          <x14:cfRule type="dataBar" id="{05153C37-CAFE-42EB-8B94-58835D186CE9}">
            <x14:dataBar minLength="0" maxLength="100" gradient="0">
              <x14:cfvo type="autoMin"/>
              <x14:cfvo type="autoMax"/>
              <x14:negativeFillColor rgb="FFFF0000"/>
              <x14:axisColor rgb="FF000000"/>
            </x14:dataBar>
          </x14:cfRule>
          <xm:sqref>T13:T59</xm:sqref>
        </x14:conditionalFormatting>
        <x14:conditionalFormatting xmlns:xm="http://schemas.microsoft.com/office/excel/2006/main">
          <x14:cfRule type="dataBar" id="{A13E7127-2844-4648-A3A4-89D95DE4B823}">
            <x14:dataBar minLength="0" maxLength="100" gradient="0">
              <x14:cfvo type="autoMin"/>
              <x14:cfvo type="autoMax"/>
              <x14:negativeFillColor rgb="FFFF0000"/>
              <x14:axisColor rgb="FF000000"/>
            </x14:dataBar>
          </x14:cfRule>
          <xm:sqref>U59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C516-FCCC-482C-978E-8AF1CB411685}">
  <dimension ref="A2:V77"/>
  <sheetViews>
    <sheetView topLeftCell="A37" zoomScale="70" zoomScaleNormal="70" workbookViewId="0">
      <selection activeCell="Q41" sqref="Q41"/>
    </sheetView>
  </sheetViews>
  <sheetFormatPr defaultColWidth="8.85546875" defaultRowHeight="15"/>
  <cols>
    <col min="1" max="1" width="4.140625" style="89" customWidth="1"/>
    <col min="2" max="2" width="14.140625" style="89" customWidth="1"/>
    <col min="3" max="3" width="18.28515625" style="89" customWidth="1"/>
    <col min="4" max="4" width="25.7109375" style="89" customWidth="1"/>
    <col min="5" max="5" width="12.28515625" style="89" customWidth="1"/>
    <col min="6" max="6" width="13.28515625" style="89" customWidth="1"/>
    <col min="7" max="7" width="12.28515625" style="89" customWidth="1"/>
    <col min="8" max="11" width="8.5703125" style="89" customWidth="1"/>
    <col min="12" max="12" width="16.5703125" style="89" bestFit="1" customWidth="1"/>
    <col min="13" max="14" width="15.42578125" style="89" bestFit="1" customWidth="1"/>
    <col min="15" max="15" width="14.28515625" style="89" bestFit="1" customWidth="1"/>
    <col min="16" max="16" width="15.42578125" style="89" bestFit="1" customWidth="1"/>
    <col min="17" max="17" width="16.85546875" style="89" bestFit="1" customWidth="1"/>
    <col min="18" max="18" width="16.28515625" style="89" bestFit="1" customWidth="1"/>
    <col min="19" max="19" width="12.42578125" style="89" customWidth="1"/>
    <col min="20" max="20" width="13.85546875" style="89" customWidth="1"/>
    <col min="21" max="21" width="14.42578125" style="89" customWidth="1"/>
    <col min="22" max="22" width="13.85546875" style="89" customWidth="1"/>
    <col min="23" max="23" width="11.7109375" style="89" customWidth="1"/>
    <col min="24" max="16384" width="8.85546875" style="89"/>
  </cols>
  <sheetData>
    <row r="2" spans="1:21" ht="18.75">
      <c r="B2" s="777" t="s">
        <v>237</v>
      </c>
      <c r="C2" s="777"/>
      <c r="D2" s="777"/>
      <c r="E2" s="777"/>
      <c r="F2" s="777"/>
      <c r="L2" s="90"/>
    </row>
    <row r="3" spans="1:21" ht="18.75">
      <c r="B3" s="91" t="s">
        <v>238</v>
      </c>
      <c r="C3" s="91"/>
      <c r="D3" s="92"/>
      <c r="E3" s="92"/>
      <c r="F3" s="92"/>
      <c r="G3" s="92"/>
      <c r="H3" s="92"/>
      <c r="I3" s="92"/>
      <c r="J3" s="92"/>
      <c r="K3" s="92"/>
      <c r="L3" s="92"/>
      <c r="T3" s="90"/>
    </row>
    <row r="4" spans="1:21" ht="16.5" thickBot="1">
      <c r="A4" s="778" t="s">
        <v>239</v>
      </c>
      <c r="B4" s="778"/>
      <c r="C4" s="93" t="s">
        <v>240</v>
      </c>
      <c r="D4" s="93" t="s">
        <v>209</v>
      </c>
      <c r="E4" s="93" t="s">
        <v>211</v>
      </c>
      <c r="F4" s="93" t="s">
        <v>241</v>
      </c>
      <c r="G4" s="93" t="s">
        <v>242</v>
      </c>
      <c r="H4" s="92"/>
      <c r="I4" s="92"/>
      <c r="J4" s="92"/>
      <c r="K4" s="92"/>
      <c r="L4" s="92"/>
      <c r="Q4" s="262" t="s">
        <v>643</v>
      </c>
    </row>
    <row r="5" spans="1:21" ht="16.5" thickTop="1">
      <c r="A5" s="245"/>
      <c r="B5" s="296" t="s">
        <v>641</v>
      </c>
      <c r="C5" s="297">
        <f>+'Gaali-2025'!Q8</f>
        <v>113484.68</v>
      </c>
      <c r="D5" s="297">
        <f>+'Gaali-2025'!Q12</f>
        <v>48457.5</v>
      </c>
      <c r="E5" s="297">
        <f>+'Gaali-2025'!Q13</f>
        <v>24216.73</v>
      </c>
      <c r="F5" s="297">
        <f>+'Gaali-2025'!Q19</f>
        <v>9655.7999999999993</v>
      </c>
      <c r="G5" s="297">
        <f>+'Gaali-2025'!Q18</f>
        <v>5388.2437499999996</v>
      </c>
      <c r="H5" s="92"/>
      <c r="I5" s="92"/>
      <c r="J5" s="92"/>
      <c r="K5" s="92"/>
      <c r="L5" s="96">
        <f>C7*C5</f>
        <v>142650242.75999999</v>
      </c>
      <c r="M5" s="96">
        <f>D7*D5</f>
        <v>41043502.5</v>
      </c>
      <c r="N5" s="96">
        <f>E7*E5</f>
        <v>26275152.050000001</v>
      </c>
      <c r="O5" s="96">
        <f>F7*F5</f>
        <v>8207429.9999999991</v>
      </c>
      <c r="P5" s="96">
        <f>G7*G5</f>
        <v>11159052.806249999</v>
      </c>
      <c r="Q5" s="261">
        <f>SUM(L5:P5)</f>
        <v>229335380.11625001</v>
      </c>
    </row>
    <row r="6" spans="1:21" ht="15.75">
      <c r="A6" s="94">
        <v>1</v>
      </c>
      <c r="B6" s="95" t="s">
        <v>104</v>
      </c>
      <c r="C6" s="174">
        <v>2000</v>
      </c>
      <c r="D6" s="174">
        <v>2000</v>
      </c>
      <c r="E6" s="174">
        <v>4000</v>
      </c>
      <c r="F6" s="175">
        <v>1500</v>
      </c>
      <c r="G6" s="176">
        <v>2400</v>
      </c>
      <c r="H6" s="96"/>
      <c r="I6" s="96"/>
      <c r="J6" s="96"/>
      <c r="K6" s="96"/>
      <c r="L6" s="92"/>
    </row>
    <row r="7" spans="1:21" ht="15.75">
      <c r="A7" s="94">
        <v>2</v>
      </c>
      <c r="B7" s="246" t="s">
        <v>15</v>
      </c>
      <c r="C7" s="247">
        <f>+L69</f>
        <v>1257</v>
      </c>
      <c r="D7" s="247">
        <f>+M69-3</f>
        <v>847</v>
      </c>
      <c r="E7" s="247">
        <f t="shared" ref="E7:G7" si="0">+N69</f>
        <v>1085</v>
      </c>
      <c r="F7" s="247">
        <f t="shared" si="0"/>
        <v>850</v>
      </c>
      <c r="G7" s="247">
        <f t="shared" si="0"/>
        <v>2071</v>
      </c>
      <c r="H7" s="295">
        <f>SUM(C7:G7)</f>
        <v>6110</v>
      </c>
      <c r="I7" s="96"/>
      <c r="J7" s="96"/>
      <c r="K7" s="96"/>
      <c r="L7" s="92"/>
      <c r="M7" s="118">
        <f>+M22*D5</f>
        <v>145372.5</v>
      </c>
      <c r="N7" s="89" t="s">
        <v>789</v>
      </c>
    </row>
    <row r="8" spans="1:21" ht="15.75" hidden="1">
      <c r="A8" s="94">
        <v>3</v>
      </c>
      <c r="B8" s="95" t="s">
        <v>243</v>
      </c>
      <c r="C8" s="174"/>
      <c r="D8" s="174"/>
      <c r="E8" s="174"/>
      <c r="F8" s="175"/>
      <c r="G8" s="176"/>
      <c r="H8" s="96"/>
      <c r="I8" s="96"/>
      <c r="J8" s="96"/>
      <c r="K8" s="96"/>
      <c r="L8" s="92"/>
    </row>
    <row r="9" spans="1:21" ht="16.5" thickBot="1">
      <c r="A9" s="779" t="s">
        <v>244</v>
      </c>
      <c r="B9" s="779"/>
      <c r="C9" s="177">
        <f>C6-C7-C8</f>
        <v>743</v>
      </c>
      <c r="D9" s="177">
        <f t="shared" ref="D9:F9" si="1">D6-D7-D8</f>
        <v>1153</v>
      </c>
      <c r="E9" s="177">
        <f t="shared" si="1"/>
        <v>2915</v>
      </c>
      <c r="F9" s="177">
        <f t="shared" si="1"/>
        <v>650</v>
      </c>
      <c r="G9" s="177">
        <f>G6-G7-G8</f>
        <v>329</v>
      </c>
      <c r="L9" s="92">
        <f>+G13/1.1</f>
        <v>109999.99999999999</v>
      </c>
    </row>
    <row r="10" spans="1:21" ht="15.75" thickTop="1"/>
    <row r="11" spans="1:21" ht="27.6" customHeight="1">
      <c r="A11" s="772" t="s">
        <v>99</v>
      </c>
      <c r="B11" s="772" t="s">
        <v>239</v>
      </c>
      <c r="C11" s="772" t="s">
        <v>245</v>
      </c>
      <c r="D11" s="772" t="s">
        <v>246</v>
      </c>
      <c r="E11" s="772" t="s">
        <v>247</v>
      </c>
      <c r="F11" s="772" t="s">
        <v>248</v>
      </c>
      <c r="G11" s="774" t="s">
        <v>249</v>
      </c>
      <c r="H11" s="775"/>
      <c r="I11" s="775"/>
      <c r="J11" s="775"/>
      <c r="K11" s="776"/>
      <c r="L11" s="772" t="s">
        <v>250</v>
      </c>
      <c r="M11" s="772" t="s">
        <v>251</v>
      </c>
      <c r="N11" s="772" t="s">
        <v>252</v>
      </c>
      <c r="O11" s="772" t="s">
        <v>253</v>
      </c>
      <c r="P11" s="772" t="s">
        <v>214</v>
      </c>
      <c r="Q11" s="772" t="s">
        <v>254</v>
      </c>
      <c r="R11" s="772" t="s">
        <v>255</v>
      </c>
      <c r="S11" s="772" t="s">
        <v>256</v>
      </c>
      <c r="T11" s="772" t="s">
        <v>257</v>
      </c>
      <c r="U11" s="97"/>
    </row>
    <row r="12" spans="1:21">
      <c r="A12" s="773"/>
      <c r="B12" s="773"/>
      <c r="C12" s="773"/>
      <c r="D12" s="773"/>
      <c r="E12" s="773"/>
      <c r="F12" s="773"/>
      <c r="G12" s="98" t="s">
        <v>250</v>
      </c>
      <c r="H12" s="98" t="s">
        <v>251</v>
      </c>
      <c r="I12" s="98" t="s">
        <v>252</v>
      </c>
      <c r="J12" s="98" t="s">
        <v>215</v>
      </c>
      <c r="K12" s="98" t="s">
        <v>258</v>
      </c>
      <c r="L12" s="773"/>
      <c r="M12" s="773"/>
      <c r="N12" s="773"/>
      <c r="O12" s="773"/>
      <c r="P12" s="773"/>
      <c r="Q12" s="773"/>
      <c r="R12" s="773"/>
      <c r="S12" s="773"/>
      <c r="T12" s="773"/>
      <c r="U12" s="97"/>
    </row>
    <row r="13" spans="1:21">
      <c r="A13" s="99">
        <v>1</v>
      </c>
      <c r="B13" s="100" t="s">
        <v>259</v>
      </c>
      <c r="C13" s="101" t="s">
        <v>260</v>
      </c>
      <c r="D13" s="102" t="s">
        <v>261</v>
      </c>
      <c r="E13" s="103">
        <v>5538009</v>
      </c>
      <c r="F13" s="104">
        <v>0</v>
      </c>
      <c r="G13" s="105">
        <v>121000</v>
      </c>
      <c r="H13" s="105"/>
      <c r="I13" s="105"/>
      <c r="J13" s="105"/>
      <c r="K13" s="105">
        <v>12000</v>
      </c>
      <c r="L13" s="106">
        <v>150</v>
      </c>
      <c r="M13" s="106"/>
      <c r="N13" s="106"/>
      <c r="O13" s="106"/>
      <c r="P13" s="106"/>
      <c r="Q13" s="294">
        <f>+G13*L13</f>
        <v>18150000</v>
      </c>
      <c r="R13" s="106">
        <v>18150000</v>
      </c>
      <c r="S13" s="107">
        <v>1</v>
      </c>
      <c r="T13" s="108">
        <v>1</v>
      </c>
      <c r="U13" s="109"/>
    </row>
    <row r="14" spans="1:21">
      <c r="A14" s="99">
        <v>2</v>
      </c>
      <c r="B14" s="100" t="s">
        <v>259</v>
      </c>
      <c r="C14" s="101" t="s">
        <v>262</v>
      </c>
      <c r="D14" s="102" t="s">
        <v>263</v>
      </c>
      <c r="E14" s="103">
        <v>2073854</v>
      </c>
      <c r="F14" s="104">
        <v>0</v>
      </c>
      <c r="G14" s="105">
        <v>121000</v>
      </c>
      <c r="H14" s="105"/>
      <c r="I14" s="105"/>
      <c r="J14" s="105"/>
      <c r="K14" s="105">
        <v>12000</v>
      </c>
      <c r="L14" s="106">
        <v>260</v>
      </c>
      <c r="M14" s="106"/>
      <c r="N14" s="106"/>
      <c r="O14" s="106"/>
      <c r="P14" s="106"/>
      <c r="Q14" s="294">
        <f>+G14*L14</f>
        <v>31460000</v>
      </c>
      <c r="R14" s="106">
        <v>31460000</v>
      </c>
      <c r="S14" s="107">
        <v>1</v>
      </c>
      <c r="T14" s="108">
        <v>1</v>
      </c>
      <c r="U14" s="109"/>
    </row>
    <row r="15" spans="1:21">
      <c r="A15" s="99">
        <v>3</v>
      </c>
      <c r="B15" s="100" t="s">
        <v>264</v>
      </c>
      <c r="C15" s="101">
        <v>0</v>
      </c>
      <c r="D15" s="102" t="s">
        <v>265</v>
      </c>
      <c r="E15" s="103">
        <v>5869072</v>
      </c>
      <c r="F15" s="104"/>
      <c r="G15" s="105">
        <v>121000</v>
      </c>
      <c r="H15" s="105"/>
      <c r="I15" s="105"/>
      <c r="J15" s="105"/>
      <c r="K15" s="105">
        <v>12000</v>
      </c>
      <c r="L15" s="106">
        <v>50</v>
      </c>
      <c r="M15" s="106"/>
      <c r="N15" s="106"/>
      <c r="O15" s="106"/>
      <c r="P15" s="106"/>
      <c r="Q15" s="294">
        <f t="shared" ref="Q15:Q37" si="2">+G15*L15</f>
        <v>6050000</v>
      </c>
      <c r="R15" s="106">
        <v>6050000</v>
      </c>
      <c r="S15" s="107">
        <v>1</v>
      </c>
      <c r="T15" s="108">
        <v>1</v>
      </c>
      <c r="U15" s="109"/>
    </row>
    <row r="16" spans="1:21" ht="13.15" customHeight="1">
      <c r="A16" s="99">
        <v>4</v>
      </c>
      <c r="B16" s="100" t="s">
        <v>101</v>
      </c>
      <c r="C16" s="101" t="s">
        <v>266</v>
      </c>
      <c r="D16" s="102" t="s">
        <v>267</v>
      </c>
      <c r="E16" s="103">
        <v>7001529</v>
      </c>
      <c r="F16" s="104">
        <v>0</v>
      </c>
      <c r="G16" s="105">
        <v>121000</v>
      </c>
      <c r="H16" s="105"/>
      <c r="I16" s="105"/>
      <c r="J16" s="105"/>
      <c r="K16" s="105">
        <v>12000</v>
      </c>
      <c r="L16" s="106">
        <v>10</v>
      </c>
      <c r="M16" s="106"/>
      <c r="N16" s="106"/>
      <c r="O16" s="106"/>
      <c r="P16" s="106"/>
      <c r="Q16" s="294">
        <f t="shared" si="2"/>
        <v>1210000</v>
      </c>
      <c r="R16" s="106">
        <v>1210000</v>
      </c>
      <c r="S16" s="107">
        <v>1</v>
      </c>
      <c r="T16" s="108">
        <v>1</v>
      </c>
      <c r="U16" s="109"/>
    </row>
    <row r="17" spans="1:21" ht="13.15" customHeight="1">
      <c r="A17" s="99">
        <v>5</v>
      </c>
      <c r="B17" s="100" t="s">
        <v>268</v>
      </c>
      <c r="C17" s="101">
        <v>0</v>
      </c>
      <c r="D17" s="102" t="s">
        <v>269</v>
      </c>
      <c r="E17" s="103">
        <v>0</v>
      </c>
      <c r="F17" s="104"/>
      <c r="G17" s="105">
        <v>121000</v>
      </c>
      <c r="H17" s="105"/>
      <c r="I17" s="105"/>
      <c r="J17" s="105"/>
      <c r="K17" s="105">
        <v>12000</v>
      </c>
      <c r="L17" s="106">
        <v>10</v>
      </c>
      <c r="M17" s="106"/>
      <c r="N17" s="106"/>
      <c r="O17" s="106"/>
      <c r="P17" s="106"/>
      <c r="Q17" s="106">
        <f t="shared" si="2"/>
        <v>1210000</v>
      </c>
      <c r="R17" s="106">
        <v>1210000</v>
      </c>
      <c r="S17" s="107">
        <v>1</v>
      </c>
      <c r="T17" s="108">
        <v>1</v>
      </c>
      <c r="U17" s="109"/>
    </row>
    <row r="18" spans="1:21">
      <c r="A18" s="99">
        <v>6</v>
      </c>
      <c r="B18" s="100" t="s">
        <v>270</v>
      </c>
      <c r="C18" s="101" t="s">
        <v>271</v>
      </c>
      <c r="D18" s="102" t="s">
        <v>272</v>
      </c>
      <c r="E18" s="103">
        <v>5906261</v>
      </c>
      <c r="F18" s="104">
        <v>0</v>
      </c>
      <c r="G18" s="105">
        <v>145000</v>
      </c>
      <c r="H18" s="105"/>
      <c r="I18" s="105"/>
      <c r="J18" s="105"/>
      <c r="K18" s="105">
        <v>12000</v>
      </c>
      <c r="L18" s="106">
        <v>300</v>
      </c>
      <c r="M18" s="106"/>
      <c r="N18" s="106"/>
      <c r="O18" s="106"/>
      <c r="P18" s="106"/>
      <c r="Q18" s="294">
        <f t="shared" si="2"/>
        <v>43500000</v>
      </c>
      <c r="R18" s="106">
        <v>43500000</v>
      </c>
      <c r="S18" s="107">
        <v>1</v>
      </c>
      <c r="T18" s="108">
        <v>1</v>
      </c>
      <c r="U18" s="109"/>
    </row>
    <row r="19" spans="1:21">
      <c r="A19" s="99">
        <v>7</v>
      </c>
      <c r="B19" s="100" t="s">
        <v>273</v>
      </c>
      <c r="C19" s="101" t="s">
        <v>274</v>
      </c>
      <c r="D19" s="102" t="s">
        <v>272</v>
      </c>
      <c r="E19" s="103">
        <v>5906261</v>
      </c>
      <c r="F19" s="104">
        <v>0</v>
      </c>
      <c r="G19" s="105"/>
      <c r="H19" s="105">
        <v>85000</v>
      </c>
      <c r="I19" s="105">
        <v>48000</v>
      </c>
      <c r="J19" s="105"/>
      <c r="K19" s="105">
        <v>12000</v>
      </c>
      <c r="L19" s="106"/>
      <c r="M19" s="106">
        <v>50</v>
      </c>
      <c r="N19" s="106">
        <v>200</v>
      </c>
      <c r="O19" s="106"/>
      <c r="P19" s="106"/>
      <c r="Q19" s="294">
        <v>13850000</v>
      </c>
      <c r="R19" s="106">
        <v>13850000</v>
      </c>
      <c r="S19" s="107">
        <v>1</v>
      </c>
      <c r="T19" s="108">
        <v>1</v>
      </c>
      <c r="U19" s="109"/>
    </row>
    <row r="20" spans="1:21">
      <c r="A20" s="99">
        <v>8</v>
      </c>
      <c r="B20" s="100" t="s">
        <v>275</v>
      </c>
      <c r="C20" s="101" t="s">
        <v>276</v>
      </c>
      <c r="D20" s="102" t="s">
        <v>277</v>
      </c>
      <c r="E20" s="103">
        <v>5344476</v>
      </c>
      <c r="F20" s="104">
        <v>0</v>
      </c>
      <c r="G20" s="105"/>
      <c r="H20" s="105">
        <v>85000</v>
      </c>
      <c r="I20" s="105">
        <v>48000</v>
      </c>
      <c r="J20" s="105"/>
      <c r="K20" s="105">
        <v>12000</v>
      </c>
      <c r="L20" s="106"/>
      <c r="M20" s="106">
        <v>10</v>
      </c>
      <c r="N20" s="106">
        <v>20</v>
      </c>
      <c r="O20" s="106"/>
      <c r="P20" s="106"/>
      <c r="Q20" s="294">
        <v>1810000</v>
      </c>
      <c r="R20" s="106">
        <v>1810000</v>
      </c>
      <c r="S20" s="107">
        <v>1</v>
      </c>
      <c r="T20" s="108">
        <v>1</v>
      </c>
      <c r="U20" s="109"/>
    </row>
    <row r="21" spans="1:21">
      <c r="A21" s="99">
        <v>9</v>
      </c>
      <c r="B21" s="110" t="s">
        <v>278</v>
      </c>
      <c r="C21" s="101" t="s">
        <v>279</v>
      </c>
      <c r="D21" s="102" t="s">
        <v>263</v>
      </c>
      <c r="E21" s="99">
        <v>2073854</v>
      </c>
      <c r="F21" s="104">
        <v>0</v>
      </c>
      <c r="G21" s="105">
        <v>121000</v>
      </c>
      <c r="H21" s="105"/>
      <c r="I21" s="105"/>
      <c r="J21" s="105"/>
      <c r="K21" s="105">
        <v>12000</v>
      </c>
      <c r="L21" s="106">
        <v>150</v>
      </c>
      <c r="M21" s="106"/>
      <c r="N21" s="106"/>
      <c r="O21" s="106"/>
      <c r="P21" s="106"/>
      <c r="Q21" s="294">
        <f t="shared" si="2"/>
        <v>18150000</v>
      </c>
      <c r="R21" s="106">
        <v>18150000</v>
      </c>
      <c r="S21" s="107">
        <v>1</v>
      </c>
      <c r="T21" s="108">
        <v>1</v>
      </c>
      <c r="U21" s="109"/>
    </row>
    <row r="22" spans="1:21">
      <c r="A22" s="99">
        <v>10</v>
      </c>
      <c r="B22" s="111" t="s">
        <v>280</v>
      </c>
      <c r="C22" s="101">
        <v>0</v>
      </c>
      <c r="D22" s="102" t="s">
        <v>281</v>
      </c>
      <c r="E22" s="99">
        <v>0</v>
      </c>
      <c r="F22" s="104">
        <v>0</v>
      </c>
      <c r="G22" s="105"/>
      <c r="H22" s="105">
        <v>72500</v>
      </c>
      <c r="I22" s="105"/>
      <c r="J22" s="105"/>
      <c r="K22" s="105">
        <v>12000</v>
      </c>
      <c r="L22" s="106"/>
      <c r="M22" s="106">
        <v>3</v>
      </c>
      <c r="N22" s="106"/>
      <c r="O22" s="106"/>
      <c r="P22" s="106"/>
      <c r="Q22" s="106">
        <v>217500</v>
      </c>
      <c r="R22" s="106">
        <v>217500</v>
      </c>
      <c r="S22" s="107">
        <v>1</v>
      </c>
      <c r="T22" s="108">
        <v>1</v>
      </c>
      <c r="U22" s="109"/>
    </row>
    <row r="23" spans="1:21">
      <c r="A23" s="99">
        <v>11</v>
      </c>
      <c r="B23" s="111" t="s">
        <v>280</v>
      </c>
      <c r="C23" s="101">
        <v>0</v>
      </c>
      <c r="D23" s="102" t="s">
        <v>282</v>
      </c>
      <c r="E23" s="103">
        <v>0</v>
      </c>
      <c r="F23" s="104">
        <v>0</v>
      </c>
      <c r="G23" s="105">
        <v>160000</v>
      </c>
      <c r="H23" s="105"/>
      <c r="I23" s="105"/>
      <c r="J23" s="105"/>
      <c r="K23" s="105">
        <v>12000</v>
      </c>
      <c r="L23" s="106">
        <v>1</v>
      </c>
      <c r="M23" s="106"/>
      <c r="N23" s="106"/>
      <c r="O23" s="106"/>
      <c r="P23" s="106"/>
      <c r="Q23" s="294">
        <f t="shared" si="2"/>
        <v>160000</v>
      </c>
      <c r="R23" s="106">
        <v>160000</v>
      </c>
      <c r="S23" s="107">
        <v>1</v>
      </c>
      <c r="T23" s="108">
        <v>1</v>
      </c>
      <c r="U23" s="109"/>
    </row>
    <row r="24" spans="1:21">
      <c r="A24" s="99">
        <v>11</v>
      </c>
      <c r="B24" s="111" t="s">
        <v>283</v>
      </c>
      <c r="C24" s="111"/>
      <c r="D24" s="102" t="s">
        <v>282</v>
      </c>
      <c r="E24" s="103">
        <v>0</v>
      </c>
      <c r="F24" s="104">
        <v>0</v>
      </c>
      <c r="G24" s="105">
        <v>160000</v>
      </c>
      <c r="H24" s="105"/>
      <c r="I24" s="105"/>
      <c r="J24" s="105"/>
      <c r="K24" s="105">
        <v>12000</v>
      </c>
      <c r="L24" s="106">
        <v>1</v>
      </c>
      <c r="M24" s="106"/>
      <c r="N24" s="106"/>
      <c r="O24" s="106"/>
      <c r="P24" s="106"/>
      <c r="Q24" s="294">
        <f t="shared" si="2"/>
        <v>160000</v>
      </c>
      <c r="R24" s="106">
        <v>217500</v>
      </c>
      <c r="S24" s="107">
        <v>1</v>
      </c>
      <c r="T24" s="108">
        <v>1</v>
      </c>
      <c r="U24" s="112"/>
    </row>
    <row r="25" spans="1:21">
      <c r="A25" s="99">
        <v>11</v>
      </c>
      <c r="B25" s="111" t="s">
        <v>284</v>
      </c>
      <c r="C25" s="111"/>
      <c r="D25" s="102" t="s">
        <v>282</v>
      </c>
      <c r="E25" s="103">
        <v>0</v>
      </c>
      <c r="F25" s="104">
        <v>0</v>
      </c>
      <c r="G25" s="105">
        <v>160000</v>
      </c>
      <c r="H25" s="105"/>
      <c r="I25" s="105"/>
      <c r="J25" s="105"/>
      <c r="K25" s="105">
        <v>12000</v>
      </c>
      <c r="L25" s="106">
        <v>1</v>
      </c>
      <c r="M25" s="106"/>
      <c r="N25" s="106"/>
      <c r="O25" s="106"/>
      <c r="P25" s="106"/>
      <c r="Q25" s="294">
        <f t="shared" si="2"/>
        <v>160000</v>
      </c>
      <c r="R25" s="106">
        <v>217500</v>
      </c>
      <c r="S25" s="107">
        <v>1</v>
      </c>
      <c r="T25" s="108">
        <v>1</v>
      </c>
      <c r="U25" s="112"/>
    </row>
    <row r="26" spans="1:21">
      <c r="A26" s="99">
        <v>11</v>
      </c>
      <c r="B26" s="111" t="s">
        <v>285</v>
      </c>
      <c r="C26" s="111"/>
      <c r="D26" s="102" t="s">
        <v>282</v>
      </c>
      <c r="E26" s="103">
        <v>0</v>
      </c>
      <c r="F26" s="104">
        <v>0</v>
      </c>
      <c r="G26" s="105">
        <v>160000</v>
      </c>
      <c r="H26" s="105"/>
      <c r="I26" s="105"/>
      <c r="J26" s="105"/>
      <c r="K26" s="105">
        <v>12000</v>
      </c>
      <c r="L26" s="106">
        <v>1</v>
      </c>
      <c r="M26" s="106"/>
      <c r="N26" s="106"/>
      <c r="O26" s="106"/>
      <c r="P26" s="106"/>
      <c r="Q26" s="294">
        <f t="shared" si="2"/>
        <v>160000</v>
      </c>
      <c r="R26" s="106">
        <v>217500</v>
      </c>
      <c r="S26" s="107">
        <v>1</v>
      </c>
      <c r="T26" s="108">
        <v>1</v>
      </c>
      <c r="U26" s="112"/>
    </row>
    <row r="27" spans="1:21">
      <c r="A27" s="99">
        <v>11</v>
      </c>
      <c r="B27" s="111" t="s">
        <v>286</v>
      </c>
      <c r="C27" s="111"/>
      <c r="D27" s="102" t="s">
        <v>282</v>
      </c>
      <c r="E27" s="103">
        <v>0</v>
      </c>
      <c r="F27" s="104">
        <v>0</v>
      </c>
      <c r="G27" s="105">
        <v>160000</v>
      </c>
      <c r="H27" s="105"/>
      <c r="I27" s="105"/>
      <c r="J27" s="105"/>
      <c r="K27" s="105">
        <v>12000</v>
      </c>
      <c r="L27" s="106">
        <v>1</v>
      </c>
      <c r="M27" s="106"/>
      <c r="N27" s="106"/>
      <c r="O27" s="106"/>
      <c r="P27" s="106"/>
      <c r="Q27" s="294">
        <f t="shared" si="2"/>
        <v>160000</v>
      </c>
      <c r="R27" s="106">
        <v>217500</v>
      </c>
      <c r="S27" s="107">
        <v>1</v>
      </c>
      <c r="T27" s="108">
        <v>1</v>
      </c>
      <c r="U27" s="112"/>
    </row>
    <row r="28" spans="1:21">
      <c r="A28" s="99">
        <v>11</v>
      </c>
      <c r="B28" s="111" t="s">
        <v>287</v>
      </c>
      <c r="C28" s="111"/>
      <c r="D28" s="102" t="s">
        <v>282</v>
      </c>
      <c r="E28" s="103">
        <v>0</v>
      </c>
      <c r="F28" s="104">
        <v>0</v>
      </c>
      <c r="G28" s="105">
        <v>160000</v>
      </c>
      <c r="H28" s="105"/>
      <c r="I28" s="105"/>
      <c r="J28" s="105"/>
      <c r="K28" s="105">
        <v>12000</v>
      </c>
      <c r="L28" s="106">
        <v>1</v>
      </c>
      <c r="M28" s="106"/>
      <c r="N28" s="106"/>
      <c r="O28" s="106"/>
      <c r="P28" s="106"/>
      <c r="Q28" s="294">
        <f t="shared" si="2"/>
        <v>160000</v>
      </c>
      <c r="R28" s="106">
        <v>217500</v>
      </c>
      <c r="S28" s="107">
        <v>1</v>
      </c>
      <c r="T28" s="108">
        <v>1</v>
      </c>
      <c r="U28" s="112"/>
    </row>
    <row r="29" spans="1:21">
      <c r="A29" s="99">
        <v>11</v>
      </c>
      <c r="B29" s="111" t="s">
        <v>288</v>
      </c>
      <c r="C29" s="111"/>
      <c r="D29" s="102" t="s">
        <v>282</v>
      </c>
      <c r="E29" s="103">
        <v>0</v>
      </c>
      <c r="F29" s="104">
        <v>0</v>
      </c>
      <c r="G29" s="105">
        <v>160000</v>
      </c>
      <c r="H29" s="105"/>
      <c r="I29" s="105"/>
      <c r="J29" s="105"/>
      <c r="K29" s="105">
        <v>12000</v>
      </c>
      <c r="L29" s="106">
        <v>1</v>
      </c>
      <c r="M29" s="106"/>
      <c r="N29" s="106"/>
      <c r="O29" s="106"/>
      <c r="P29" s="106"/>
      <c r="Q29" s="294">
        <f t="shared" si="2"/>
        <v>160000</v>
      </c>
      <c r="R29" s="106">
        <v>217500</v>
      </c>
      <c r="S29" s="107">
        <v>1</v>
      </c>
      <c r="T29" s="108">
        <v>1</v>
      </c>
      <c r="U29" s="112"/>
    </row>
    <row r="30" spans="1:21">
      <c r="A30" s="99">
        <v>11</v>
      </c>
      <c r="B30" s="111" t="s">
        <v>289</v>
      </c>
      <c r="C30" s="111"/>
      <c r="D30" s="102" t="s">
        <v>282</v>
      </c>
      <c r="E30" s="103">
        <v>0</v>
      </c>
      <c r="F30" s="104">
        <v>0</v>
      </c>
      <c r="G30" s="105">
        <v>160000</v>
      </c>
      <c r="H30" s="105"/>
      <c r="I30" s="105"/>
      <c r="J30" s="105"/>
      <c r="K30" s="105">
        <v>12000</v>
      </c>
      <c r="L30" s="106">
        <v>1</v>
      </c>
      <c r="M30" s="106"/>
      <c r="N30" s="106"/>
      <c r="O30" s="106"/>
      <c r="P30" s="106"/>
      <c r="Q30" s="294">
        <f>160000-35000</f>
        <v>125000</v>
      </c>
      <c r="R30" s="106">
        <v>217500</v>
      </c>
      <c r="S30" s="107">
        <v>1</v>
      </c>
      <c r="T30" s="108">
        <v>1</v>
      </c>
      <c r="U30" s="112"/>
    </row>
    <row r="31" spans="1:21">
      <c r="A31" s="99">
        <v>11</v>
      </c>
      <c r="B31" s="111" t="s">
        <v>290</v>
      </c>
      <c r="C31" s="111"/>
      <c r="D31" s="102" t="s">
        <v>282</v>
      </c>
      <c r="E31" s="103">
        <v>0</v>
      </c>
      <c r="F31" s="104">
        <v>0</v>
      </c>
      <c r="G31" s="105">
        <v>160000</v>
      </c>
      <c r="H31" s="105"/>
      <c r="I31" s="105"/>
      <c r="J31" s="105"/>
      <c r="K31" s="105">
        <v>12000</v>
      </c>
      <c r="L31" s="106">
        <v>1</v>
      </c>
      <c r="M31" s="106"/>
      <c r="N31" s="106"/>
      <c r="O31" s="106"/>
      <c r="P31" s="106"/>
      <c r="Q31" s="298">
        <f>160000+35000</f>
        <v>195000</v>
      </c>
      <c r="R31" s="106">
        <v>217500</v>
      </c>
      <c r="S31" s="107">
        <v>1</v>
      </c>
      <c r="T31" s="108">
        <v>1</v>
      </c>
      <c r="U31" s="112"/>
    </row>
    <row r="32" spans="1:21">
      <c r="A32" s="99">
        <v>11</v>
      </c>
      <c r="B32" s="111" t="s">
        <v>291</v>
      </c>
      <c r="C32" s="111"/>
      <c r="D32" s="102" t="s">
        <v>282</v>
      </c>
      <c r="E32" s="103">
        <v>0</v>
      </c>
      <c r="F32" s="104">
        <v>0</v>
      </c>
      <c r="G32" s="105">
        <v>160000</v>
      </c>
      <c r="H32" s="105"/>
      <c r="I32" s="105"/>
      <c r="J32" s="105"/>
      <c r="K32" s="105">
        <v>12000</v>
      </c>
      <c r="L32" s="106">
        <v>1</v>
      </c>
      <c r="M32" s="106"/>
      <c r="N32" s="106"/>
      <c r="O32" s="106"/>
      <c r="P32" s="106"/>
      <c r="Q32" s="298">
        <f t="shared" si="2"/>
        <v>160000</v>
      </c>
      <c r="R32" s="106">
        <v>217500</v>
      </c>
      <c r="S32" s="107">
        <v>1</v>
      </c>
      <c r="T32" s="108">
        <v>1</v>
      </c>
      <c r="U32" s="112"/>
    </row>
    <row r="33" spans="1:21">
      <c r="A33" s="99">
        <v>11</v>
      </c>
      <c r="B33" s="111" t="s">
        <v>292</v>
      </c>
      <c r="C33" s="111"/>
      <c r="D33" s="102" t="s">
        <v>282</v>
      </c>
      <c r="E33" s="103">
        <v>0</v>
      </c>
      <c r="F33" s="104">
        <v>0</v>
      </c>
      <c r="G33" s="105">
        <v>160000</v>
      </c>
      <c r="H33" s="105"/>
      <c r="I33" s="105"/>
      <c r="J33" s="105"/>
      <c r="K33" s="105">
        <v>12000</v>
      </c>
      <c r="L33" s="106">
        <v>1</v>
      </c>
      <c r="M33" s="106"/>
      <c r="N33" s="106"/>
      <c r="O33" s="106"/>
      <c r="P33" s="106"/>
      <c r="Q33" s="298">
        <f t="shared" si="2"/>
        <v>160000</v>
      </c>
      <c r="R33" s="106">
        <v>217500</v>
      </c>
      <c r="S33" s="107">
        <v>1</v>
      </c>
      <c r="T33" s="108">
        <v>1</v>
      </c>
      <c r="U33" s="112"/>
    </row>
    <row r="34" spans="1:21">
      <c r="A34" s="99">
        <v>11</v>
      </c>
      <c r="B34" s="111" t="s">
        <v>293</v>
      </c>
      <c r="C34" s="111"/>
      <c r="D34" s="102" t="s">
        <v>282</v>
      </c>
      <c r="E34" s="103">
        <v>0</v>
      </c>
      <c r="F34" s="104">
        <v>0</v>
      </c>
      <c r="G34" s="105">
        <v>160000</v>
      </c>
      <c r="H34" s="105"/>
      <c r="I34" s="105"/>
      <c r="J34" s="105"/>
      <c r="K34" s="105">
        <v>12000</v>
      </c>
      <c r="L34" s="106">
        <v>1</v>
      </c>
      <c r="M34" s="106"/>
      <c r="N34" s="106"/>
      <c r="O34" s="106"/>
      <c r="P34" s="106"/>
      <c r="Q34" s="298">
        <f t="shared" si="2"/>
        <v>160000</v>
      </c>
      <c r="R34" s="106">
        <v>217500</v>
      </c>
      <c r="S34" s="107">
        <v>1</v>
      </c>
      <c r="T34" s="108">
        <v>1</v>
      </c>
      <c r="U34" s="112"/>
    </row>
    <row r="35" spans="1:21">
      <c r="A35" s="99">
        <v>11</v>
      </c>
      <c r="B35" s="111" t="s">
        <v>294</v>
      </c>
      <c r="C35" s="111"/>
      <c r="D35" s="102" t="s">
        <v>282</v>
      </c>
      <c r="E35" s="103">
        <v>0</v>
      </c>
      <c r="F35" s="104">
        <v>0</v>
      </c>
      <c r="G35" s="105">
        <v>160000</v>
      </c>
      <c r="H35" s="105"/>
      <c r="I35" s="105"/>
      <c r="J35" s="105"/>
      <c r="K35" s="105">
        <v>12000</v>
      </c>
      <c r="L35" s="106">
        <v>1</v>
      </c>
      <c r="M35" s="106"/>
      <c r="N35" s="106"/>
      <c r="O35" s="106"/>
      <c r="P35" s="106"/>
      <c r="Q35" s="298">
        <f t="shared" si="2"/>
        <v>160000</v>
      </c>
      <c r="R35" s="106">
        <v>217500</v>
      </c>
      <c r="S35" s="107">
        <v>1</v>
      </c>
      <c r="T35" s="108">
        <v>1</v>
      </c>
      <c r="U35" s="112"/>
    </row>
    <row r="36" spans="1:21">
      <c r="A36" s="99">
        <v>11</v>
      </c>
      <c r="B36" s="111" t="s">
        <v>295</v>
      </c>
      <c r="C36" s="111"/>
      <c r="D36" s="102" t="s">
        <v>282</v>
      </c>
      <c r="E36" s="103">
        <v>0</v>
      </c>
      <c r="F36" s="104">
        <v>0</v>
      </c>
      <c r="G36" s="105">
        <v>160000</v>
      </c>
      <c r="H36" s="105"/>
      <c r="I36" s="105"/>
      <c r="J36" s="105"/>
      <c r="K36" s="105">
        <v>12000</v>
      </c>
      <c r="L36" s="106">
        <v>1</v>
      </c>
      <c r="M36" s="106"/>
      <c r="N36" s="106"/>
      <c r="O36" s="106"/>
      <c r="P36" s="106"/>
      <c r="Q36" s="298">
        <f t="shared" si="2"/>
        <v>160000</v>
      </c>
      <c r="R36" s="106">
        <v>217500</v>
      </c>
      <c r="S36" s="107">
        <v>1</v>
      </c>
      <c r="T36" s="108">
        <v>1</v>
      </c>
      <c r="U36" s="112"/>
    </row>
    <row r="37" spans="1:21">
      <c r="A37" s="99">
        <v>11</v>
      </c>
      <c r="B37" s="111" t="s">
        <v>296</v>
      </c>
      <c r="C37" s="111"/>
      <c r="D37" s="102" t="s">
        <v>282</v>
      </c>
      <c r="E37" s="103">
        <v>0</v>
      </c>
      <c r="F37" s="104">
        <v>0</v>
      </c>
      <c r="G37" s="105">
        <v>160000</v>
      </c>
      <c r="H37" s="105"/>
      <c r="I37" s="105"/>
      <c r="J37" s="105"/>
      <c r="K37" s="105">
        <v>12000</v>
      </c>
      <c r="L37" s="106">
        <v>1</v>
      </c>
      <c r="M37" s="106"/>
      <c r="N37" s="106"/>
      <c r="O37" s="106"/>
      <c r="P37" s="106"/>
      <c r="Q37" s="298">
        <f t="shared" si="2"/>
        <v>160000</v>
      </c>
      <c r="R37" s="106">
        <v>217500</v>
      </c>
      <c r="S37" s="107">
        <v>1</v>
      </c>
      <c r="T37" s="108">
        <v>1</v>
      </c>
      <c r="U37" s="112"/>
    </row>
    <row r="38" spans="1:21">
      <c r="A38" s="99">
        <v>12</v>
      </c>
      <c r="B38" s="111" t="s">
        <v>297</v>
      </c>
      <c r="C38" s="101" t="s">
        <v>298</v>
      </c>
      <c r="D38" s="102" t="s">
        <v>277</v>
      </c>
      <c r="E38" s="103">
        <v>5344476</v>
      </c>
      <c r="F38" s="104">
        <v>0</v>
      </c>
      <c r="G38" s="105"/>
      <c r="H38" s="105">
        <v>85000</v>
      </c>
      <c r="I38" s="105">
        <v>48000</v>
      </c>
      <c r="J38" s="105">
        <v>20000</v>
      </c>
      <c r="K38" s="105">
        <v>12000</v>
      </c>
      <c r="L38" s="106"/>
      <c r="M38" s="106">
        <v>20</v>
      </c>
      <c r="N38" s="106">
        <v>20</v>
      </c>
      <c r="O38" s="106">
        <v>20</v>
      </c>
      <c r="P38" s="106"/>
      <c r="Q38" s="294">
        <f>+L38*G38+M38*H38+N38*I38+O38*J38+P38*K38</f>
        <v>3060000</v>
      </c>
      <c r="R38" s="106">
        <v>3060000</v>
      </c>
      <c r="S38" s="107">
        <v>1</v>
      </c>
      <c r="T38" s="108">
        <v>1</v>
      </c>
      <c r="U38" s="112"/>
    </row>
    <row r="39" spans="1:21">
      <c r="A39" s="99">
        <v>13</v>
      </c>
      <c r="B39" s="111" t="s">
        <v>299</v>
      </c>
      <c r="C39" s="101" t="s">
        <v>300</v>
      </c>
      <c r="D39" s="102" t="s">
        <v>301</v>
      </c>
      <c r="E39" s="103">
        <v>1028073</v>
      </c>
      <c r="F39" s="104">
        <v>0</v>
      </c>
      <c r="G39" s="105"/>
      <c r="H39" s="105"/>
      <c r="I39" s="105"/>
      <c r="J39" s="105"/>
      <c r="K39" s="105">
        <v>12000</v>
      </c>
      <c r="L39" s="106"/>
      <c r="M39" s="106"/>
      <c r="N39" s="106"/>
      <c r="O39" s="106"/>
      <c r="P39" s="106">
        <v>100</v>
      </c>
      <c r="Q39" s="294">
        <f t="shared" ref="Q39:Q67" si="3">+L39*G39+M39*H39+N39*I39+O39*J39+P39*K39</f>
        <v>1200000</v>
      </c>
      <c r="R39" s="106">
        <v>1200000</v>
      </c>
      <c r="S39" s="107">
        <v>1</v>
      </c>
      <c r="T39" s="108">
        <v>1</v>
      </c>
      <c r="U39" s="112"/>
    </row>
    <row r="40" spans="1:21">
      <c r="A40" s="99">
        <v>14</v>
      </c>
      <c r="B40" s="111" t="s">
        <v>302</v>
      </c>
      <c r="C40" s="101" t="s">
        <v>303</v>
      </c>
      <c r="D40" s="102" t="s">
        <v>272</v>
      </c>
      <c r="E40" s="103">
        <v>5906261</v>
      </c>
      <c r="F40" s="104">
        <v>0</v>
      </c>
      <c r="G40" s="105"/>
      <c r="H40" s="105">
        <v>85000</v>
      </c>
      <c r="I40" s="105">
        <v>48000</v>
      </c>
      <c r="J40" s="105">
        <v>20000</v>
      </c>
      <c r="K40" s="105">
        <v>12000</v>
      </c>
      <c r="L40" s="106"/>
      <c r="M40" s="106">
        <v>30</v>
      </c>
      <c r="N40" s="106">
        <v>50</v>
      </c>
      <c r="O40" s="106">
        <v>50</v>
      </c>
      <c r="P40" s="106"/>
      <c r="Q40" s="294">
        <f t="shared" si="3"/>
        <v>5950000</v>
      </c>
      <c r="R40" s="106">
        <v>5950000</v>
      </c>
      <c r="S40" s="107">
        <v>1</v>
      </c>
      <c r="T40" s="108">
        <v>1</v>
      </c>
      <c r="U40" s="112"/>
    </row>
    <row r="41" spans="1:21">
      <c r="A41" s="99">
        <v>15</v>
      </c>
      <c r="B41" s="111" t="s">
        <v>302</v>
      </c>
      <c r="C41" s="101" t="s">
        <v>304</v>
      </c>
      <c r="D41" s="102" t="s">
        <v>305</v>
      </c>
      <c r="E41" s="103"/>
      <c r="F41" s="104">
        <v>0</v>
      </c>
      <c r="G41" s="105">
        <v>160000</v>
      </c>
      <c r="H41" s="105">
        <v>85000</v>
      </c>
      <c r="I41" s="105">
        <v>48000</v>
      </c>
      <c r="J41" s="105">
        <v>20000</v>
      </c>
      <c r="K41" s="105">
        <v>12000</v>
      </c>
      <c r="L41" s="106">
        <v>5</v>
      </c>
      <c r="M41" s="106">
        <v>5</v>
      </c>
      <c r="N41" s="106">
        <v>5</v>
      </c>
      <c r="O41" s="106">
        <v>5</v>
      </c>
      <c r="P41" s="106"/>
      <c r="Q41" s="298">
        <f t="shared" si="3"/>
        <v>1565000</v>
      </c>
      <c r="R41" s="106">
        <v>1565000</v>
      </c>
      <c r="S41" s="107">
        <v>1</v>
      </c>
      <c r="T41" s="108">
        <v>1</v>
      </c>
      <c r="U41" s="112"/>
    </row>
    <row r="42" spans="1:21">
      <c r="A42" s="113">
        <v>16</v>
      </c>
      <c r="B42" s="111" t="s">
        <v>306</v>
      </c>
      <c r="C42" s="101" t="s">
        <v>307</v>
      </c>
      <c r="D42" s="102" t="s">
        <v>272</v>
      </c>
      <c r="E42" s="103">
        <v>5906261</v>
      </c>
      <c r="F42" s="104">
        <v>0</v>
      </c>
      <c r="G42" s="105">
        <v>160000</v>
      </c>
      <c r="H42" s="105">
        <v>85000</v>
      </c>
      <c r="I42" s="105">
        <v>48000</v>
      </c>
      <c r="J42" s="105">
        <v>20000</v>
      </c>
      <c r="K42" s="105">
        <v>12000</v>
      </c>
      <c r="L42" s="106">
        <v>10</v>
      </c>
      <c r="M42" s="106">
        <v>20</v>
      </c>
      <c r="N42" s="106">
        <v>30</v>
      </c>
      <c r="O42" s="106">
        <v>30</v>
      </c>
      <c r="P42" s="106"/>
      <c r="Q42" s="294">
        <f t="shared" si="3"/>
        <v>5340000</v>
      </c>
      <c r="R42" s="106">
        <v>5340000</v>
      </c>
      <c r="S42" s="107">
        <v>1</v>
      </c>
      <c r="T42" s="108">
        <v>1</v>
      </c>
      <c r="U42" s="112"/>
    </row>
    <row r="43" spans="1:21">
      <c r="A43" s="113">
        <v>17</v>
      </c>
      <c r="B43" s="111" t="s">
        <v>308</v>
      </c>
      <c r="C43" s="101" t="s">
        <v>309</v>
      </c>
      <c r="D43" s="102" t="s">
        <v>310</v>
      </c>
      <c r="E43" s="103">
        <v>5734258</v>
      </c>
      <c r="F43" s="104">
        <v>0</v>
      </c>
      <c r="G43" s="105">
        <v>160000</v>
      </c>
      <c r="H43" s="105">
        <v>85000</v>
      </c>
      <c r="I43" s="105">
        <v>48000</v>
      </c>
      <c r="J43" s="105">
        <v>20000</v>
      </c>
      <c r="K43" s="105">
        <v>12000</v>
      </c>
      <c r="L43" s="106"/>
      <c r="M43" s="106"/>
      <c r="N43" s="106">
        <v>50</v>
      </c>
      <c r="O43" s="106">
        <v>50</v>
      </c>
      <c r="P43" s="106"/>
      <c r="Q43" s="294">
        <f t="shared" si="3"/>
        <v>3400000</v>
      </c>
      <c r="R43" s="106">
        <v>3400000</v>
      </c>
      <c r="S43" s="107">
        <v>1</v>
      </c>
      <c r="T43" s="108">
        <v>1</v>
      </c>
      <c r="U43" s="112" t="s">
        <v>311</v>
      </c>
    </row>
    <row r="44" spans="1:21">
      <c r="A44" s="113">
        <v>18</v>
      </c>
      <c r="B44" s="111" t="s">
        <v>312</v>
      </c>
      <c r="C44" s="101" t="s">
        <v>313</v>
      </c>
      <c r="D44" s="102" t="s">
        <v>277</v>
      </c>
      <c r="E44" s="103">
        <v>5344476</v>
      </c>
      <c r="F44" s="104">
        <v>0</v>
      </c>
      <c r="G44" s="105">
        <v>160000</v>
      </c>
      <c r="H44" s="105">
        <v>85000</v>
      </c>
      <c r="I44" s="105">
        <v>48000</v>
      </c>
      <c r="J44" s="105">
        <v>20000</v>
      </c>
      <c r="K44" s="105">
        <v>12000</v>
      </c>
      <c r="L44" s="106"/>
      <c r="M44" s="106"/>
      <c r="N44" s="106">
        <v>20</v>
      </c>
      <c r="O44" s="106">
        <v>15</v>
      </c>
      <c r="P44" s="106"/>
      <c r="Q44" s="294">
        <f t="shared" si="3"/>
        <v>1260000</v>
      </c>
      <c r="R44" s="106"/>
      <c r="S44" s="107"/>
      <c r="T44" s="108"/>
      <c r="U44" s="112"/>
    </row>
    <row r="45" spans="1:21">
      <c r="A45" s="113">
        <v>19</v>
      </c>
      <c r="B45" s="111" t="s">
        <v>314</v>
      </c>
      <c r="C45" s="101" t="s">
        <v>315</v>
      </c>
      <c r="D45" s="102" t="s">
        <v>272</v>
      </c>
      <c r="E45" s="103">
        <v>5906261</v>
      </c>
      <c r="F45" s="104">
        <v>0</v>
      </c>
      <c r="G45" s="105">
        <v>160000</v>
      </c>
      <c r="H45" s="105">
        <v>85000</v>
      </c>
      <c r="I45" s="105">
        <v>48000</v>
      </c>
      <c r="J45" s="105">
        <v>20000</v>
      </c>
      <c r="K45" s="105">
        <v>12000</v>
      </c>
      <c r="L45" s="106">
        <v>20</v>
      </c>
      <c r="M45" s="106">
        <v>30</v>
      </c>
      <c r="N45" s="106">
        <v>50</v>
      </c>
      <c r="O45" s="106">
        <v>50</v>
      </c>
      <c r="P45" s="106"/>
      <c r="Q45" s="294">
        <f t="shared" si="3"/>
        <v>9150000</v>
      </c>
      <c r="R45" s="106">
        <v>9150000</v>
      </c>
      <c r="S45" s="107">
        <v>1</v>
      </c>
      <c r="T45" s="108">
        <v>1</v>
      </c>
      <c r="U45" s="112"/>
    </row>
    <row r="46" spans="1:21">
      <c r="A46" s="113">
        <v>20</v>
      </c>
      <c r="B46" s="111" t="s">
        <v>314</v>
      </c>
      <c r="C46" s="101" t="s">
        <v>316</v>
      </c>
      <c r="D46" s="102" t="s">
        <v>317</v>
      </c>
      <c r="E46" s="103">
        <v>4557875</v>
      </c>
      <c r="F46" s="104"/>
      <c r="G46" s="105">
        <v>160000</v>
      </c>
      <c r="H46" s="105">
        <v>85000</v>
      </c>
      <c r="I46" s="105">
        <v>48000</v>
      </c>
      <c r="J46" s="105">
        <v>20000</v>
      </c>
      <c r="K46" s="105">
        <v>12000</v>
      </c>
      <c r="L46" s="106">
        <v>10</v>
      </c>
      <c r="M46" s="106">
        <v>20</v>
      </c>
      <c r="N46" s="106">
        <v>60</v>
      </c>
      <c r="O46" s="106">
        <v>80</v>
      </c>
      <c r="P46" s="106"/>
      <c r="Q46" s="294">
        <f t="shared" si="3"/>
        <v>7780000</v>
      </c>
      <c r="R46" s="106">
        <v>2000000</v>
      </c>
      <c r="S46" s="107"/>
      <c r="T46" s="108"/>
      <c r="U46" s="112"/>
    </row>
    <row r="47" spans="1:21">
      <c r="A47" s="113">
        <v>21</v>
      </c>
      <c r="B47" s="111" t="s">
        <v>318</v>
      </c>
      <c r="C47" s="101" t="s">
        <v>319</v>
      </c>
      <c r="D47" s="102" t="s">
        <v>272</v>
      </c>
      <c r="E47" s="103">
        <v>5906261</v>
      </c>
      <c r="F47" s="104"/>
      <c r="G47" s="105">
        <v>160000</v>
      </c>
      <c r="H47" s="105">
        <v>85000</v>
      </c>
      <c r="I47" s="105">
        <v>48000</v>
      </c>
      <c r="J47" s="105">
        <v>20000</v>
      </c>
      <c r="K47" s="105">
        <v>12000</v>
      </c>
      <c r="L47" s="106">
        <v>20</v>
      </c>
      <c r="M47" s="106">
        <v>30</v>
      </c>
      <c r="N47" s="106">
        <v>50</v>
      </c>
      <c r="O47" s="106">
        <v>50</v>
      </c>
      <c r="P47" s="106"/>
      <c r="Q47" s="294">
        <f t="shared" si="3"/>
        <v>9150000</v>
      </c>
      <c r="R47" s="106">
        <v>9150000</v>
      </c>
      <c r="S47" s="107">
        <v>1</v>
      </c>
      <c r="T47" s="108">
        <v>1</v>
      </c>
      <c r="U47" s="112"/>
    </row>
    <row r="48" spans="1:21">
      <c r="A48" s="113">
        <v>22</v>
      </c>
      <c r="B48" s="111" t="s">
        <v>320</v>
      </c>
      <c r="C48" s="101" t="s">
        <v>321</v>
      </c>
      <c r="D48" s="102" t="s">
        <v>272</v>
      </c>
      <c r="E48" s="103">
        <v>5906261</v>
      </c>
      <c r="F48" s="104"/>
      <c r="G48" s="105">
        <v>160000</v>
      </c>
      <c r="H48" s="105">
        <v>85000</v>
      </c>
      <c r="I48" s="105">
        <v>48000</v>
      </c>
      <c r="J48" s="105">
        <v>20000</v>
      </c>
      <c r="K48" s="105">
        <v>12000</v>
      </c>
      <c r="L48" s="106">
        <v>20</v>
      </c>
      <c r="M48" s="106">
        <v>30</v>
      </c>
      <c r="N48" s="106">
        <v>50</v>
      </c>
      <c r="O48" s="106">
        <v>100</v>
      </c>
      <c r="P48" s="106"/>
      <c r="Q48" s="294">
        <f t="shared" si="3"/>
        <v>10150000</v>
      </c>
      <c r="R48" s="106">
        <v>10150000</v>
      </c>
      <c r="S48" s="107">
        <v>1</v>
      </c>
      <c r="T48" s="108">
        <v>1</v>
      </c>
      <c r="U48" s="112"/>
    </row>
    <row r="49" spans="1:21">
      <c r="A49" s="113">
        <v>23</v>
      </c>
      <c r="B49" s="111" t="s">
        <v>322</v>
      </c>
      <c r="C49" s="101" t="s">
        <v>323</v>
      </c>
      <c r="D49" s="102" t="s">
        <v>263</v>
      </c>
      <c r="E49" s="103">
        <v>2073854</v>
      </c>
      <c r="F49" s="104"/>
      <c r="G49" s="105">
        <v>121000</v>
      </c>
      <c r="H49" s="105">
        <v>85000</v>
      </c>
      <c r="I49" s="105">
        <v>48000</v>
      </c>
      <c r="J49" s="105">
        <v>20000</v>
      </c>
      <c r="K49" s="105">
        <v>12000</v>
      </c>
      <c r="L49" s="106">
        <v>200</v>
      </c>
      <c r="M49" s="106"/>
      <c r="N49" s="106"/>
      <c r="O49" s="106"/>
      <c r="P49" s="106"/>
      <c r="Q49" s="294">
        <f t="shared" si="3"/>
        <v>24200000</v>
      </c>
      <c r="R49" s="106">
        <v>24200000</v>
      </c>
      <c r="S49" s="107">
        <v>1</v>
      </c>
      <c r="T49" s="108">
        <v>1</v>
      </c>
      <c r="U49" s="112"/>
    </row>
    <row r="50" spans="1:21">
      <c r="A50" s="113">
        <v>24</v>
      </c>
      <c r="B50" s="111" t="s">
        <v>324</v>
      </c>
      <c r="C50" s="101" t="s">
        <v>325</v>
      </c>
      <c r="D50" s="102" t="s">
        <v>272</v>
      </c>
      <c r="E50" s="103">
        <v>5906261</v>
      </c>
      <c r="F50" s="104"/>
      <c r="G50" s="105">
        <v>160000</v>
      </c>
      <c r="H50" s="105">
        <v>85000</v>
      </c>
      <c r="I50" s="105">
        <v>48000</v>
      </c>
      <c r="J50" s="105">
        <v>20000</v>
      </c>
      <c r="K50" s="105">
        <v>12000</v>
      </c>
      <c r="L50" s="106"/>
      <c r="M50" s="106">
        <v>30</v>
      </c>
      <c r="N50" s="106">
        <v>50</v>
      </c>
      <c r="O50" s="106">
        <v>100</v>
      </c>
      <c r="P50" s="106"/>
      <c r="Q50" s="294">
        <f t="shared" si="3"/>
        <v>6950000</v>
      </c>
      <c r="R50" s="106">
        <v>6950000</v>
      </c>
      <c r="S50" s="107">
        <v>1</v>
      </c>
      <c r="T50" s="108">
        <v>1</v>
      </c>
      <c r="U50" s="112"/>
    </row>
    <row r="51" spans="1:21">
      <c r="A51" s="113">
        <v>25</v>
      </c>
      <c r="B51" s="111" t="s">
        <v>326</v>
      </c>
      <c r="C51" s="101" t="s">
        <v>327</v>
      </c>
      <c r="D51" s="102" t="s">
        <v>272</v>
      </c>
      <c r="E51" s="103">
        <v>5906261</v>
      </c>
      <c r="F51" s="104"/>
      <c r="G51" s="105">
        <v>160000</v>
      </c>
      <c r="H51" s="105">
        <v>85000</v>
      </c>
      <c r="I51" s="105">
        <v>48000</v>
      </c>
      <c r="J51" s="105">
        <v>20000</v>
      </c>
      <c r="K51" s="105">
        <v>12000</v>
      </c>
      <c r="L51" s="106"/>
      <c r="M51" s="106">
        <v>50</v>
      </c>
      <c r="N51" s="106">
        <v>50</v>
      </c>
      <c r="O51" s="106">
        <v>50</v>
      </c>
      <c r="P51" s="106"/>
      <c r="Q51" s="294">
        <f>+L51*G51+M51*H51+N51*I51+O51*J51+P51*K51</f>
        <v>7650000</v>
      </c>
      <c r="R51" s="106">
        <v>7650000</v>
      </c>
      <c r="S51" s="107">
        <v>1</v>
      </c>
      <c r="T51" s="108">
        <v>1</v>
      </c>
      <c r="U51" s="112"/>
    </row>
    <row r="52" spans="1:21">
      <c r="A52" s="113">
        <v>26</v>
      </c>
      <c r="B52" s="111" t="s">
        <v>328</v>
      </c>
      <c r="C52" s="101" t="s">
        <v>329</v>
      </c>
      <c r="D52" s="102" t="s">
        <v>272</v>
      </c>
      <c r="E52" s="103">
        <v>5906261</v>
      </c>
      <c r="F52" s="104"/>
      <c r="G52" s="105">
        <v>160000</v>
      </c>
      <c r="H52" s="105">
        <v>85000</v>
      </c>
      <c r="I52" s="105">
        <v>48000</v>
      </c>
      <c r="J52" s="105">
        <v>20000</v>
      </c>
      <c r="K52" s="105">
        <v>12000</v>
      </c>
      <c r="L52" s="106"/>
      <c r="M52" s="106">
        <v>20</v>
      </c>
      <c r="N52" s="106">
        <v>50</v>
      </c>
      <c r="O52" s="106">
        <v>100</v>
      </c>
      <c r="P52" s="106"/>
      <c r="Q52" s="294">
        <f t="shared" si="3"/>
        <v>6100000</v>
      </c>
      <c r="R52" s="106">
        <v>6100000</v>
      </c>
      <c r="S52" s="107">
        <v>1</v>
      </c>
      <c r="T52" s="108">
        <v>1</v>
      </c>
      <c r="U52" s="112"/>
    </row>
    <row r="53" spans="1:21">
      <c r="A53" s="113">
        <v>27</v>
      </c>
      <c r="B53" s="111" t="s">
        <v>330</v>
      </c>
      <c r="C53" s="101" t="s">
        <v>331</v>
      </c>
      <c r="D53" s="102" t="s">
        <v>332</v>
      </c>
      <c r="E53" s="103">
        <v>6155804</v>
      </c>
      <c r="F53" s="104"/>
      <c r="G53" s="105">
        <v>160000</v>
      </c>
      <c r="H53" s="105">
        <v>85000</v>
      </c>
      <c r="I53" s="105">
        <v>48000</v>
      </c>
      <c r="J53" s="105">
        <v>20000</v>
      </c>
      <c r="K53" s="105">
        <v>12000</v>
      </c>
      <c r="L53" s="106"/>
      <c r="M53" s="106"/>
      <c r="N53" s="106"/>
      <c r="O53" s="106"/>
      <c r="P53" s="106">
        <v>500</v>
      </c>
      <c r="Q53" s="294">
        <f t="shared" si="3"/>
        <v>6000000</v>
      </c>
      <c r="R53" s="114"/>
      <c r="S53" s="107">
        <v>1</v>
      </c>
      <c r="T53" s="108">
        <v>1</v>
      </c>
      <c r="U53" s="112"/>
    </row>
    <row r="54" spans="1:21">
      <c r="A54" s="113">
        <v>28</v>
      </c>
      <c r="B54" s="111" t="s">
        <v>333</v>
      </c>
      <c r="C54" s="101" t="s">
        <v>334</v>
      </c>
      <c r="D54" s="102" t="s">
        <v>332</v>
      </c>
      <c r="E54" s="103">
        <v>6155804</v>
      </c>
      <c r="F54" s="104"/>
      <c r="G54" s="105">
        <v>160000</v>
      </c>
      <c r="H54" s="105">
        <v>85000</v>
      </c>
      <c r="I54" s="105">
        <v>48000</v>
      </c>
      <c r="J54" s="105">
        <v>20000</v>
      </c>
      <c r="K54" s="105">
        <v>12000</v>
      </c>
      <c r="L54" s="106"/>
      <c r="M54" s="106"/>
      <c r="N54" s="106"/>
      <c r="O54" s="106"/>
      <c r="P54" s="106">
        <v>300</v>
      </c>
      <c r="Q54" s="294">
        <f t="shared" si="3"/>
        <v>3600000</v>
      </c>
      <c r="R54" s="114">
        <v>8160000</v>
      </c>
      <c r="S54" s="107">
        <v>1</v>
      </c>
      <c r="T54" s="108">
        <v>1</v>
      </c>
      <c r="U54" s="112"/>
    </row>
    <row r="55" spans="1:21">
      <c r="A55" s="113">
        <v>29</v>
      </c>
      <c r="B55" s="111" t="s">
        <v>333</v>
      </c>
      <c r="C55" s="101" t="s">
        <v>335</v>
      </c>
      <c r="D55" s="102" t="s">
        <v>336</v>
      </c>
      <c r="E55" s="103">
        <v>8375763</v>
      </c>
      <c r="F55" s="104"/>
      <c r="G55" s="105">
        <v>160000</v>
      </c>
      <c r="H55" s="105">
        <v>85000</v>
      </c>
      <c r="I55" s="105">
        <v>48000</v>
      </c>
      <c r="J55" s="105">
        <v>20000</v>
      </c>
      <c r="K55" s="105">
        <v>12000</v>
      </c>
      <c r="L55" s="106"/>
      <c r="M55" s="106">
        <v>300</v>
      </c>
      <c r="N55" s="106">
        <v>150</v>
      </c>
      <c r="O55" s="106"/>
      <c r="P55" s="106"/>
      <c r="Q55" s="106">
        <f t="shared" si="3"/>
        <v>32700000</v>
      </c>
      <c r="R55" s="106"/>
      <c r="S55" s="107"/>
      <c r="T55" s="108"/>
      <c r="U55" s="112"/>
    </row>
    <row r="56" spans="1:21">
      <c r="A56" s="113">
        <v>30</v>
      </c>
      <c r="B56" s="111" t="s">
        <v>337</v>
      </c>
      <c r="C56" s="101" t="s">
        <v>338</v>
      </c>
      <c r="D56" s="102" t="s">
        <v>272</v>
      </c>
      <c r="E56" s="103">
        <v>5906261</v>
      </c>
      <c r="F56" s="104"/>
      <c r="G56" s="105">
        <v>160000</v>
      </c>
      <c r="H56" s="105">
        <v>85000</v>
      </c>
      <c r="I56" s="105">
        <v>48000</v>
      </c>
      <c r="J56" s="105">
        <v>20000</v>
      </c>
      <c r="K56" s="105">
        <v>12000</v>
      </c>
      <c r="L56" s="106"/>
      <c r="M56" s="106">
        <v>30</v>
      </c>
      <c r="N56" s="106">
        <v>50</v>
      </c>
      <c r="O56" s="106"/>
      <c r="P56" s="106"/>
      <c r="Q56" s="294">
        <f t="shared" si="3"/>
        <v>4950000</v>
      </c>
      <c r="R56" s="106">
        <v>4950000</v>
      </c>
      <c r="S56" s="107">
        <v>1</v>
      </c>
      <c r="T56" s="108">
        <v>1</v>
      </c>
      <c r="U56" s="112"/>
    </row>
    <row r="57" spans="1:21">
      <c r="A57" s="113">
        <v>31</v>
      </c>
      <c r="B57" s="111" t="s">
        <v>102</v>
      </c>
      <c r="C57" s="101" t="s">
        <v>339</v>
      </c>
      <c r="D57" s="102" t="s">
        <v>332</v>
      </c>
      <c r="E57" s="103">
        <v>6155804</v>
      </c>
      <c r="F57" s="104"/>
      <c r="G57" s="105">
        <v>160000</v>
      </c>
      <c r="H57" s="105">
        <v>85000</v>
      </c>
      <c r="I57" s="105">
        <v>48000</v>
      </c>
      <c r="J57" s="105">
        <v>20000</v>
      </c>
      <c r="K57" s="105">
        <v>12000</v>
      </c>
      <c r="L57" s="106"/>
      <c r="M57" s="106"/>
      <c r="N57" s="106"/>
      <c r="O57" s="106"/>
      <c r="P57" s="106">
        <v>300</v>
      </c>
      <c r="Q57" s="294">
        <f t="shared" si="3"/>
        <v>3600000</v>
      </c>
      <c r="R57" s="114"/>
      <c r="S57" s="265"/>
      <c r="T57" s="115"/>
      <c r="U57" s="112"/>
    </row>
    <row r="58" spans="1:21">
      <c r="A58" s="113">
        <v>32</v>
      </c>
      <c r="B58" s="111" t="s">
        <v>340</v>
      </c>
      <c r="C58" s="101" t="s">
        <v>341</v>
      </c>
      <c r="D58" s="102" t="s">
        <v>332</v>
      </c>
      <c r="E58" s="103">
        <v>6155804</v>
      </c>
      <c r="F58" s="104"/>
      <c r="G58" s="105">
        <v>160000</v>
      </c>
      <c r="H58" s="105">
        <v>85000</v>
      </c>
      <c r="I58" s="105">
        <v>48000</v>
      </c>
      <c r="J58" s="105">
        <v>20000</v>
      </c>
      <c r="K58" s="105">
        <v>12000</v>
      </c>
      <c r="L58" s="106"/>
      <c r="M58" s="106"/>
      <c r="N58" s="106"/>
      <c r="O58" s="106"/>
      <c r="P58" s="106">
        <v>400</v>
      </c>
      <c r="Q58" s="294">
        <f t="shared" si="3"/>
        <v>4800000</v>
      </c>
      <c r="R58" s="114"/>
      <c r="S58" s="265"/>
      <c r="T58" s="115"/>
      <c r="U58" s="112"/>
    </row>
    <row r="59" spans="1:21">
      <c r="A59" s="113">
        <v>33</v>
      </c>
      <c r="B59" s="111" t="s">
        <v>342</v>
      </c>
      <c r="C59" s="101" t="s">
        <v>343</v>
      </c>
      <c r="D59" s="102" t="s">
        <v>332</v>
      </c>
      <c r="E59" s="103">
        <v>6155804</v>
      </c>
      <c r="F59" s="104"/>
      <c r="G59" s="105">
        <v>160000</v>
      </c>
      <c r="H59" s="105">
        <v>85000</v>
      </c>
      <c r="I59" s="105">
        <v>48000</v>
      </c>
      <c r="J59" s="105">
        <v>20000</v>
      </c>
      <c r="K59" s="105">
        <v>12000</v>
      </c>
      <c r="L59" s="106"/>
      <c r="M59" s="106"/>
      <c r="N59" s="106"/>
      <c r="O59" s="106"/>
      <c r="P59" s="106">
        <v>100</v>
      </c>
      <c r="Q59" s="294">
        <f t="shared" si="3"/>
        <v>1200000</v>
      </c>
      <c r="R59" s="114"/>
      <c r="S59" s="107"/>
      <c r="T59" s="115"/>
      <c r="U59" s="112"/>
    </row>
    <row r="60" spans="1:21">
      <c r="A60" s="113">
        <v>34</v>
      </c>
      <c r="B60" s="111" t="s">
        <v>342</v>
      </c>
      <c r="C60" s="101" t="s">
        <v>344</v>
      </c>
      <c r="D60" s="102" t="s">
        <v>272</v>
      </c>
      <c r="E60" s="103">
        <v>5906261</v>
      </c>
      <c r="F60" s="104"/>
      <c r="G60" s="105">
        <v>160000</v>
      </c>
      <c r="H60" s="105">
        <v>85000</v>
      </c>
      <c r="I60" s="105">
        <v>48000</v>
      </c>
      <c r="J60" s="105">
        <v>20000</v>
      </c>
      <c r="K60" s="105">
        <v>12000</v>
      </c>
      <c r="L60" s="106"/>
      <c r="M60" s="106">
        <v>10</v>
      </c>
      <c r="N60" s="106">
        <v>30</v>
      </c>
      <c r="O60" s="106">
        <v>50</v>
      </c>
      <c r="P60" s="106"/>
      <c r="Q60" s="294">
        <f>+L60*G60+M60*H60+N60*I60+O60*J60+P60*K60</f>
        <v>3290000</v>
      </c>
      <c r="R60" s="106">
        <v>3290000</v>
      </c>
      <c r="S60" s="107">
        <v>1</v>
      </c>
      <c r="T60" s="108">
        <v>1</v>
      </c>
      <c r="U60" s="112"/>
    </row>
    <row r="61" spans="1:21">
      <c r="A61" s="113">
        <v>35</v>
      </c>
      <c r="B61" s="111" t="s">
        <v>345</v>
      </c>
      <c r="C61" s="101" t="s">
        <v>346</v>
      </c>
      <c r="D61" s="102" t="s">
        <v>332</v>
      </c>
      <c r="E61" s="103">
        <v>6155804</v>
      </c>
      <c r="F61" s="104"/>
      <c r="G61" s="105">
        <v>160000</v>
      </c>
      <c r="H61" s="105">
        <v>85000</v>
      </c>
      <c r="I61" s="105">
        <v>48000</v>
      </c>
      <c r="J61" s="105">
        <v>20000</v>
      </c>
      <c r="K61" s="105">
        <v>12000</v>
      </c>
      <c r="L61" s="106"/>
      <c r="M61" s="106"/>
      <c r="N61" s="106"/>
      <c r="O61" s="106"/>
      <c r="P61" s="106">
        <v>60</v>
      </c>
      <c r="Q61" s="294">
        <f t="shared" si="3"/>
        <v>720000</v>
      </c>
      <c r="R61" s="114"/>
      <c r="S61" s="107"/>
      <c r="T61" s="115"/>
      <c r="U61" s="112"/>
    </row>
    <row r="62" spans="1:21">
      <c r="A62" s="113">
        <v>36</v>
      </c>
      <c r="B62" s="111" t="s">
        <v>347</v>
      </c>
      <c r="C62" s="101" t="s">
        <v>348</v>
      </c>
      <c r="D62" s="102" t="s">
        <v>332</v>
      </c>
      <c r="E62" s="103">
        <v>6155804</v>
      </c>
      <c r="F62" s="104"/>
      <c r="G62" s="105">
        <v>160000</v>
      </c>
      <c r="H62" s="105">
        <v>85000</v>
      </c>
      <c r="I62" s="105">
        <v>48000</v>
      </c>
      <c r="J62" s="105">
        <v>20000</v>
      </c>
      <c r="K62" s="105">
        <v>12000</v>
      </c>
      <c r="L62" s="106"/>
      <c r="M62" s="106"/>
      <c r="N62" s="106"/>
      <c r="O62" s="106"/>
      <c r="P62" s="106">
        <v>300</v>
      </c>
      <c r="Q62" s="294">
        <f t="shared" si="3"/>
        <v>3600000</v>
      </c>
      <c r="R62" s="114">
        <v>9048000</v>
      </c>
      <c r="S62" s="107">
        <v>1</v>
      </c>
      <c r="T62" s="108">
        <v>1</v>
      </c>
      <c r="U62" s="112"/>
    </row>
    <row r="63" spans="1:21">
      <c r="A63" s="113">
        <v>37</v>
      </c>
      <c r="B63" s="111" t="s">
        <v>349</v>
      </c>
      <c r="C63" s="101" t="s">
        <v>350</v>
      </c>
      <c r="D63" s="102" t="s">
        <v>272</v>
      </c>
      <c r="E63" s="103">
        <v>5906261</v>
      </c>
      <c r="F63" s="104"/>
      <c r="G63" s="105">
        <v>160000</v>
      </c>
      <c r="H63" s="105">
        <v>85000</v>
      </c>
      <c r="I63" s="105">
        <v>48000</v>
      </c>
      <c r="J63" s="105">
        <v>20000</v>
      </c>
      <c r="K63" s="105"/>
      <c r="L63" s="106"/>
      <c r="M63" s="106">
        <v>30</v>
      </c>
      <c r="N63" s="106">
        <v>50</v>
      </c>
      <c r="O63" s="106">
        <v>50</v>
      </c>
      <c r="P63" s="106"/>
      <c r="Q63" s="294">
        <f t="shared" si="3"/>
        <v>5950000</v>
      </c>
      <c r="R63" s="106">
        <v>5950000</v>
      </c>
      <c r="S63" s="107"/>
      <c r="T63" s="115"/>
      <c r="U63" s="112"/>
    </row>
    <row r="64" spans="1:21">
      <c r="A64" s="113">
        <v>38</v>
      </c>
      <c r="B64" s="111" t="s">
        <v>351</v>
      </c>
      <c r="C64" s="101" t="s">
        <v>352</v>
      </c>
      <c r="D64" s="102" t="s">
        <v>272</v>
      </c>
      <c r="E64" s="103">
        <v>5906261</v>
      </c>
      <c r="F64" s="104"/>
      <c r="G64" s="105">
        <v>160000</v>
      </c>
      <c r="H64" s="105">
        <v>85000</v>
      </c>
      <c r="I64" s="105">
        <v>48000</v>
      </c>
      <c r="J64" s="105">
        <v>20000</v>
      </c>
      <c r="K64" s="105"/>
      <c r="L64" s="106"/>
      <c r="M64" s="106">
        <v>30</v>
      </c>
      <c r="N64" s="106">
        <v>50</v>
      </c>
      <c r="O64" s="106">
        <v>50</v>
      </c>
      <c r="P64" s="106"/>
      <c r="Q64" s="294">
        <f t="shared" si="3"/>
        <v>5950000</v>
      </c>
      <c r="R64" s="106"/>
      <c r="S64" s="107"/>
      <c r="T64" s="115"/>
      <c r="U64" s="112"/>
    </row>
    <row r="65" spans="1:22">
      <c r="A65" s="113">
        <v>39</v>
      </c>
      <c r="B65" s="111" t="s">
        <v>351</v>
      </c>
      <c r="C65" s="101" t="s">
        <v>353</v>
      </c>
      <c r="D65" s="102" t="s">
        <v>354</v>
      </c>
      <c r="E65" s="103">
        <v>7151713</v>
      </c>
      <c r="F65" s="104"/>
      <c r="G65" s="105">
        <v>160000</v>
      </c>
      <c r="H65" s="105">
        <v>85000</v>
      </c>
      <c r="I65" s="105">
        <v>48000</v>
      </c>
      <c r="J65" s="105">
        <v>20000</v>
      </c>
      <c r="K65" s="105"/>
      <c r="L65" s="106"/>
      <c r="M65" s="106">
        <v>100</v>
      </c>
      <c r="N65" s="106"/>
      <c r="O65" s="106"/>
      <c r="P65" s="106"/>
      <c r="Q65" s="294">
        <f t="shared" si="3"/>
        <v>8500000</v>
      </c>
      <c r="R65" s="106">
        <v>8500000</v>
      </c>
      <c r="S65" s="107">
        <v>1</v>
      </c>
      <c r="T65" s="108">
        <v>1</v>
      </c>
      <c r="U65" s="112"/>
      <c r="V65" s="89" t="s">
        <v>355</v>
      </c>
    </row>
    <row r="66" spans="1:22">
      <c r="A66" s="113">
        <v>40</v>
      </c>
      <c r="B66" s="111"/>
      <c r="C66" s="101"/>
      <c r="D66" s="102" t="s">
        <v>644</v>
      </c>
      <c r="E66" s="103"/>
      <c r="F66" s="104"/>
      <c r="G66" s="105">
        <v>160000</v>
      </c>
      <c r="H66" s="105">
        <v>85000</v>
      </c>
      <c r="I66" s="105">
        <v>48000</v>
      </c>
      <c r="J66" s="105">
        <v>20000</v>
      </c>
      <c r="K66" s="105">
        <v>12273</v>
      </c>
      <c r="L66" s="106">
        <v>16</v>
      </c>
      <c r="M66" s="106">
        <v>2</v>
      </c>
      <c r="N66" s="106"/>
      <c r="O66" s="106"/>
      <c r="P66" s="106">
        <v>11</v>
      </c>
      <c r="Q66" s="294">
        <f t="shared" si="3"/>
        <v>2865003</v>
      </c>
      <c r="R66" s="106"/>
      <c r="S66" s="107"/>
      <c r="T66" s="115"/>
      <c r="U66" s="112"/>
    </row>
    <row r="67" spans="1:22">
      <c r="A67" s="113">
        <v>41</v>
      </c>
      <c r="B67" s="111"/>
      <c r="C67" s="101"/>
      <c r="D67" s="102" t="s">
        <v>263</v>
      </c>
      <c r="E67" s="103"/>
      <c r="F67" s="104"/>
      <c r="G67" s="105">
        <v>160000</v>
      </c>
      <c r="H67" s="105">
        <v>85000</v>
      </c>
      <c r="I67" s="105">
        <v>48000</v>
      </c>
      <c r="J67" s="105">
        <v>20000</v>
      </c>
      <c r="K67" s="105">
        <v>12000</v>
      </c>
      <c r="L67" s="106">
        <v>11</v>
      </c>
      <c r="M67" s="106"/>
      <c r="N67" s="106"/>
      <c r="O67" s="106"/>
      <c r="P67" s="106"/>
      <c r="Q67" s="294">
        <f t="shared" si="3"/>
        <v>1760000</v>
      </c>
      <c r="R67" s="106"/>
      <c r="S67" s="107"/>
      <c r="T67" s="115"/>
      <c r="U67" s="112"/>
    </row>
    <row r="68" spans="1:22">
      <c r="A68" s="113">
        <v>41</v>
      </c>
      <c r="B68" s="111"/>
      <c r="C68" s="101"/>
      <c r="D68" s="102"/>
      <c r="E68" s="103"/>
      <c r="F68" s="104"/>
      <c r="G68" s="105">
        <v>160000</v>
      </c>
      <c r="H68" s="105">
        <v>85000</v>
      </c>
      <c r="I68" s="105">
        <v>48000</v>
      </c>
      <c r="J68" s="105">
        <v>20000</v>
      </c>
      <c r="K68" s="105">
        <v>12000</v>
      </c>
      <c r="L68" s="106"/>
      <c r="M68" s="106"/>
      <c r="N68" s="106"/>
      <c r="O68" s="106"/>
      <c r="P68" s="106"/>
      <c r="Q68" s="106"/>
      <c r="R68" s="106"/>
      <c r="S68" s="107"/>
      <c r="T68" s="115"/>
      <c r="U68" s="112"/>
    </row>
    <row r="69" spans="1:22">
      <c r="A69" s="769" t="s">
        <v>356</v>
      </c>
      <c r="B69" s="770"/>
      <c r="C69" s="770"/>
      <c r="D69" s="770"/>
      <c r="E69" s="770"/>
      <c r="F69" s="770"/>
      <c r="G69" s="770"/>
      <c r="H69" s="770"/>
      <c r="I69" s="770"/>
      <c r="J69" s="770"/>
      <c r="K69" s="771"/>
      <c r="L69" s="178">
        <f>SUM(L13:L68)</f>
        <v>1257</v>
      </c>
      <c r="M69" s="178">
        <f t="shared" ref="M69:P69" si="4">SUM(M13:M68)</f>
        <v>850</v>
      </c>
      <c r="N69" s="178">
        <f t="shared" si="4"/>
        <v>1085</v>
      </c>
      <c r="O69" s="178">
        <f t="shared" si="4"/>
        <v>850</v>
      </c>
      <c r="P69" s="178">
        <f t="shared" si="4"/>
        <v>2071</v>
      </c>
      <c r="Q69" s="179">
        <f>SUM(Q13:Q68)</f>
        <v>330397503</v>
      </c>
      <c r="R69" s="179">
        <f t="shared" ref="R69" si="5">SUM(R13:R68)</f>
        <v>274575500</v>
      </c>
      <c r="S69" s="116">
        <v>11</v>
      </c>
      <c r="T69" s="115">
        <v>0.76035501869003996</v>
      </c>
      <c r="U69" s="112"/>
    </row>
    <row r="70" spans="1:22">
      <c r="G70" s="118">
        <f>2865000/G68</f>
        <v>17.90625</v>
      </c>
      <c r="H70" s="118">
        <f t="shared" ref="H70:K70" si="6">2865000/H68</f>
        <v>33.705882352941174</v>
      </c>
      <c r="I70" s="118">
        <f t="shared" si="6"/>
        <v>59.6875</v>
      </c>
      <c r="J70" s="118">
        <f t="shared" si="6"/>
        <v>143.25</v>
      </c>
      <c r="K70" s="118">
        <f t="shared" si="6"/>
        <v>238.75</v>
      </c>
      <c r="Q70" s="118">
        <f>2865000-Q66</f>
        <v>-3</v>
      </c>
    </row>
    <row r="71" spans="1:22">
      <c r="L71" s="263">
        <f>135000/11</f>
        <v>12272.727272727272</v>
      </c>
      <c r="Q71" s="117">
        <f>+Q69-Bor!H19</f>
        <v>60367503</v>
      </c>
    </row>
    <row r="72" spans="1:22">
      <c r="Q72" s="118">
        <f>SUM(Q31:Q37)+Q41+Q17</f>
        <v>3930000</v>
      </c>
      <c r="R72" s="89" t="s">
        <v>794</v>
      </c>
    </row>
    <row r="73" spans="1:22">
      <c r="Q73" s="118">
        <f>+Q55</f>
        <v>32700000</v>
      </c>
      <c r="R73" s="89" t="s">
        <v>795</v>
      </c>
    </row>
    <row r="77" spans="1:22">
      <c r="Q77" s="89">
        <f>1155-1120</f>
        <v>35</v>
      </c>
    </row>
  </sheetData>
  <mergeCells count="20">
    <mergeCell ref="B2:F2"/>
    <mergeCell ref="A4:B4"/>
    <mergeCell ref="A9:B9"/>
    <mergeCell ref="A11:A12"/>
    <mergeCell ref="B11:B12"/>
    <mergeCell ref="C11:C12"/>
    <mergeCell ref="D11:D12"/>
    <mergeCell ref="E11:E12"/>
    <mergeCell ref="F11:F12"/>
    <mergeCell ref="Q11:Q12"/>
    <mergeCell ref="R11:R12"/>
    <mergeCell ref="S11:S12"/>
    <mergeCell ref="T11:T12"/>
    <mergeCell ref="A69:K69"/>
    <mergeCell ref="G11:K11"/>
    <mergeCell ref="L11:L12"/>
    <mergeCell ref="M11:M12"/>
    <mergeCell ref="N11:N12"/>
    <mergeCell ref="O11:O12"/>
    <mergeCell ref="P11:P12"/>
  </mergeCells>
  <conditionalFormatting sqref="T13:T69">
    <cfRule type="top10" dxfId="0" priority="5" percent="1" bottom="1" rank="10"/>
    <cfRule type="dataBar" priority="6">
      <dataBar>
        <cfvo type="min"/>
        <cfvo type="max"/>
        <color rgb="FF92D050"/>
      </dataBar>
      <extLst>
        <ext xmlns:x14="http://schemas.microsoft.com/office/spreadsheetml/2009/9/main" uri="{B025F937-C7B1-47D3-B67F-A62EFF666E3E}">
          <x14:id>{84F2224F-3709-4B76-9AFA-A715369678BB}</x14:id>
        </ext>
      </extLst>
    </cfRule>
  </conditionalFormatting>
  <conditionalFormatting sqref="U69">
    <cfRule type="dataBar" priority="11">
      <dataBar>
        <cfvo type="min"/>
        <cfvo type="max"/>
        <color rgb="FFFFFF00"/>
      </dataBar>
      <extLst>
        <ext xmlns:x14="http://schemas.microsoft.com/office/spreadsheetml/2009/9/main" uri="{B025F937-C7B1-47D3-B67F-A62EFF666E3E}">
          <x14:id>{9A6D07A6-1682-48D1-A7BE-EE33CE837C7D}</x14:id>
        </ext>
      </extLst>
    </cfRule>
  </conditionalFormatting>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10" id="{BCB15EFD-C17D-4EA8-96A9-2E53E8314242}">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S13:S15</xm:sqref>
        </x14:conditionalFormatting>
        <x14:conditionalFormatting xmlns:xm="http://schemas.microsoft.com/office/excel/2006/main">
          <x14:cfRule type="iconSet" priority="4" id="{1E410A9B-327D-44D1-939D-D2158883560E}">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S16</xm:sqref>
        </x14:conditionalFormatting>
        <x14:conditionalFormatting xmlns:xm="http://schemas.microsoft.com/office/excel/2006/main">
          <x14:cfRule type="iconSet" priority="9" id="{197E15CD-7A3E-42C4-84F6-FC1AC0024D1B}">
            <x14:iconSet iconSet="3Symbols" showValue="0" custom="1">
              <x14:cfvo type="percent">
                <xm:f>0</xm:f>
              </x14:cfvo>
              <x14:cfvo type="percent">
                <xm:f>33</xm:f>
              </x14:cfvo>
              <x14:cfvo type="percent">
                <xm:f>67</xm:f>
              </x14:cfvo>
              <x14:cfIcon iconSet="3Symbols" iconId="0"/>
              <x14:cfIcon iconSet="3Symbols" iconId="1"/>
              <x14:cfIcon iconSet="3Symbols" iconId="0"/>
            </x14:iconSet>
          </x14:cfRule>
          <xm:sqref>S17</xm:sqref>
        </x14:conditionalFormatting>
        <x14:conditionalFormatting xmlns:xm="http://schemas.microsoft.com/office/excel/2006/main">
          <x14:cfRule type="iconSet" priority="8" id="{21D8F1C8-E828-46FF-9728-1ECD91078FB2}">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S18:S19</xm:sqref>
        </x14:conditionalFormatting>
        <x14:conditionalFormatting xmlns:xm="http://schemas.microsoft.com/office/excel/2006/main">
          <x14:cfRule type="iconSet" priority="7" id="{913201BF-32DF-4611-85B4-D320A0100F55}">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S20</xm:sqref>
        </x14:conditionalFormatting>
        <x14:conditionalFormatting xmlns:xm="http://schemas.microsoft.com/office/excel/2006/main">
          <x14:cfRule type="iconSet" priority="3" id="{218CAAC8-29AF-418E-A99D-36E4BB14B03D}">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S21</xm:sqref>
        </x14:conditionalFormatting>
        <x14:conditionalFormatting xmlns:xm="http://schemas.microsoft.com/office/excel/2006/main">
          <x14:cfRule type="iconSet" priority="2" id="{691FCA23-316F-4D64-AECE-77A6D7AD130E}">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S22</xm:sqref>
        </x14:conditionalFormatting>
        <x14:conditionalFormatting xmlns:xm="http://schemas.microsoft.com/office/excel/2006/main">
          <x14:cfRule type="iconSet" priority="1" id="{3394CBF8-56BE-4F31-8A22-A8FECE0B3B88}">
            <x14:iconSet iconSet="3Symbols" showValue="0" custom="1">
              <x14:cfvo type="percent">
                <xm:f>0</xm:f>
              </x14:cfvo>
              <x14:cfvo type="percent">
                <xm:f>33</xm:f>
              </x14:cfvo>
              <x14:cfvo type="percent">
                <xm:f>67</xm:f>
              </x14:cfvo>
              <x14:cfIcon iconSet="3Symbols" iconId="0"/>
              <x14:cfIcon iconSet="3Symbols" iconId="1"/>
              <x14:cfIcon iconSet="3Symbols2" iconId="2"/>
            </x14:iconSet>
          </x14:cfRule>
          <xm:sqref>S23:S68</xm:sqref>
        </x14:conditionalFormatting>
        <x14:conditionalFormatting xmlns:xm="http://schemas.microsoft.com/office/excel/2006/main">
          <x14:cfRule type="dataBar" id="{84F2224F-3709-4B76-9AFA-A715369678BB}">
            <x14:dataBar minLength="0" maxLength="100" gradient="0">
              <x14:cfvo type="autoMin"/>
              <x14:cfvo type="autoMax"/>
              <x14:negativeFillColor rgb="FFFF0000"/>
              <x14:axisColor rgb="FF000000"/>
            </x14:dataBar>
          </x14:cfRule>
          <xm:sqref>T13:T69</xm:sqref>
        </x14:conditionalFormatting>
        <x14:conditionalFormatting xmlns:xm="http://schemas.microsoft.com/office/excel/2006/main">
          <x14:cfRule type="dataBar" id="{9A6D07A6-1682-48D1-A7BE-EE33CE837C7D}">
            <x14:dataBar minLength="0" maxLength="100" gradient="0">
              <x14:cfvo type="autoMin"/>
              <x14:cfvo type="autoMax"/>
              <x14:negativeFillColor rgb="FFFF0000"/>
              <x14:axisColor rgb="FF000000"/>
            </x14:dataBar>
          </x14:cfRule>
          <xm:sqref>U69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D33EC-FFF9-442B-A683-7E1381416237}">
  <dimension ref="A1:U639"/>
  <sheetViews>
    <sheetView workbookViewId="0">
      <selection activeCell="D17" sqref="D17"/>
    </sheetView>
  </sheetViews>
  <sheetFormatPr defaultRowHeight="12"/>
  <cols>
    <col min="1" max="1" width="3.85546875" style="13" customWidth="1"/>
    <col min="2" max="2" width="8.28515625" style="13" customWidth="1"/>
    <col min="3" max="3" width="14" style="13" bestFit="1" customWidth="1"/>
    <col min="4" max="4" width="14.42578125" style="13" bestFit="1" customWidth="1"/>
    <col min="5" max="5" width="13" style="13" bestFit="1" customWidth="1"/>
    <col min="6" max="6" width="11.42578125" style="13" customWidth="1"/>
    <col min="7" max="7" width="13.7109375" style="13" customWidth="1"/>
    <col min="8" max="8" width="13" style="13" bestFit="1" customWidth="1"/>
    <col min="9" max="9" width="13.140625" style="13" customWidth="1"/>
    <col min="10" max="10" width="12.140625" style="13" bestFit="1" customWidth="1"/>
    <col min="11" max="11" width="13.28515625" style="13" customWidth="1"/>
    <col min="12" max="12" width="13.7109375" style="23" bestFit="1" customWidth="1"/>
    <col min="13" max="13" width="12.5703125" style="13" bestFit="1" customWidth="1"/>
    <col min="14" max="14" width="12" style="13" bestFit="1" customWidth="1"/>
    <col min="15" max="15" width="12.85546875" style="13" hidden="1" customWidth="1"/>
    <col min="16" max="16" width="12" style="13" hidden="1" customWidth="1"/>
    <col min="17" max="17" width="0" style="13" hidden="1" customWidth="1"/>
    <col min="18" max="18" width="12" style="13" hidden="1" customWidth="1"/>
    <col min="19" max="19" width="14.28515625" style="13" hidden="1" customWidth="1"/>
    <col min="20" max="20" width="10.7109375" style="13" bestFit="1" customWidth="1"/>
    <col min="21" max="253" width="8.85546875" style="13"/>
    <col min="254" max="254" width="3.85546875" style="13" customWidth="1"/>
    <col min="255" max="255" width="8.28515625" style="13" customWidth="1"/>
    <col min="256" max="256" width="14.28515625" style="13" bestFit="1" customWidth="1"/>
    <col min="257" max="257" width="14.42578125" style="13" bestFit="1" customWidth="1"/>
    <col min="258" max="258" width="13" style="13" bestFit="1" customWidth="1"/>
    <col min="259" max="259" width="11.42578125" style="13" customWidth="1"/>
    <col min="260" max="260" width="14.85546875" style="13" customWidth="1"/>
    <col min="261" max="261" width="13" style="13" bestFit="1" customWidth="1"/>
    <col min="262" max="262" width="13.140625" style="13" customWidth="1"/>
    <col min="263" max="264" width="12.140625" style="13" bestFit="1" customWidth="1"/>
    <col min="265" max="266" width="12.5703125" style="13" bestFit="1" customWidth="1"/>
    <col min="267" max="267" width="9.85546875" style="13" bestFit="1" customWidth="1"/>
    <col min="268" max="270" width="0" style="13" hidden="1" customWidth="1"/>
    <col min="271" max="272" width="14.28515625" style="13" bestFit="1" customWidth="1"/>
    <col min="273" max="273" width="14" style="13" customWidth="1"/>
    <col min="274" max="509" width="8.85546875" style="13"/>
    <col min="510" max="510" width="3.85546875" style="13" customWidth="1"/>
    <col min="511" max="511" width="8.28515625" style="13" customWidth="1"/>
    <col min="512" max="512" width="14.28515625" style="13" bestFit="1" customWidth="1"/>
    <col min="513" max="513" width="14.42578125" style="13" bestFit="1" customWidth="1"/>
    <col min="514" max="514" width="13" style="13" bestFit="1" customWidth="1"/>
    <col min="515" max="515" width="11.42578125" style="13" customWidth="1"/>
    <col min="516" max="516" width="14.85546875" style="13" customWidth="1"/>
    <col min="517" max="517" width="13" style="13" bestFit="1" customWidth="1"/>
    <col min="518" max="518" width="13.140625" style="13" customWidth="1"/>
    <col min="519" max="520" width="12.140625" style="13" bestFit="1" customWidth="1"/>
    <col min="521" max="522" width="12.5703125" style="13" bestFit="1" customWidth="1"/>
    <col min="523" max="523" width="9.85546875" style="13" bestFit="1" customWidth="1"/>
    <col min="524" max="526" width="0" style="13" hidden="1" customWidth="1"/>
    <col min="527" max="528" width="14.28515625" style="13" bestFit="1" customWidth="1"/>
    <col min="529" max="529" width="14" style="13" customWidth="1"/>
    <col min="530" max="765" width="8.85546875" style="13"/>
    <col min="766" max="766" width="3.85546875" style="13" customWidth="1"/>
    <col min="767" max="767" width="8.28515625" style="13" customWidth="1"/>
    <col min="768" max="768" width="14.28515625" style="13" bestFit="1" customWidth="1"/>
    <col min="769" max="769" width="14.42578125" style="13" bestFit="1" customWidth="1"/>
    <col min="770" max="770" width="13" style="13" bestFit="1" customWidth="1"/>
    <col min="771" max="771" width="11.42578125" style="13" customWidth="1"/>
    <col min="772" max="772" width="14.85546875" style="13" customWidth="1"/>
    <col min="773" max="773" width="13" style="13" bestFit="1" customWidth="1"/>
    <col min="774" max="774" width="13.140625" style="13" customWidth="1"/>
    <col min="775" max="776" width="12.140625" style="13" bestFit="1" customWidth="1"/>
    <col min="777" max="778" width="12.5703125" style="13" bestFit="1" customWidth="1"/>
    <col min="779" max="779" width="9.85546875" style="13" bestFit="1" customWidth="1"/>
    <col min="780" max="782" width="0" style="13" hidden="1" customWidth="1"/>
    <col min="783" max="784" width="14.28515625" style="13" bestFit="1" customWidth="1"/>
    <col min="785" max="785" width="14" style="13" customWidth="1"/>
    <col min="786" max="1021" width="8.85546875" style="13"/>
    <col min="1022" max="1022" width="3.85546875" style="13" customWidth="1"/>
    <col min="1023" max="1023" width="8.28515625" style="13" customWidth="1"/>
    <col min="1024" max="1024" width="14.28515625" style="13" bestFit="1" customWidth="1"/>
    <col min="1025" max="1025" width="14.42578125" style="13" bestFit="1" customWidth="1"/>
    <col min="1026" max="1026" width="13" style="13" bestFit="1" customWidth="1"/>
    <col min="1027" max="1027" width="11.42578125" style="13" customWidth="1"/>
    <col min="1028" max="1028" width="14.85546875" style="13" customWidth="1"/>
    <col min="1029" max="1029" width="13" style="13" bestFit="1" customWidth="1"/>
    <col min="1030" max="1030" width="13.140625" style="13" customWidth="1"/>
    <col min="1031" max="1032" width="12.140625" style="13" bestFit="1" customWidth="1"/>
    <col min="1033" max="1034" width="12.5703125" style="13" bestFit="1" customWidth="1"/>
    <col min="1035" max="1035" width="9.85546875" style="13" bestFit="1" customWidth="1"/>
    <col min="1036" max="1038" width="0" style="13" hidden="1" customWidth="1"/>
    <col min="1039" max="1040" width="14.28515625" style="13" bestFit="1" customWidth="1"/>
    <col min="1041" max="1041" width="14" style="13" customWidth="1"/>
    <col min="1042" max="1277" width="8.85546875" style="13"/>
    <col min="1278" max="1278" width="3.85546875" style="13" customWidth="1"/>
    <col min="1279" max="1279" width="8.28515625" style="13" customWidth="1"/>
    <col min="1280" max="1280" width="14.28515625" style="13" bestFit="1" customWidth="1"/>
    <col min="1281" max="1281" width="14.42578125" style="13" bestFit="1" customWidth="1"/>
    <col min="1282" max="1282" width="13" style="13" bestFit="1" customWidth="1"/>
    <col min="1283" max="1283" width="11.42578125" style="13" customWidth="1"/>
    <col min="1284" max="1284" width="14.85546875" style="13" customWidth="1"/>
    <col min="1285" max="1285" width="13" style="13" bestFit="1" customWidth="1"/>
    <col min="1286" max="1286" width="13.140625" style="13" customWidth="1"/>
    <col min="1287" max="1288" width="12.140625" style="13" bestFit="1" customWidth="1"/>
    <col min="1289" max="1290" width="12.5703125" style="13" bestFit="1" customWidth="1"/>
    <col min="1291" max="1291" width="9.85546875" style="13" bestFit="1" customWidth="1"/>
    <col min="1292" max="1294" width="0" style="13" hidden="1" customWidth="1"/>
    <col min="1295" max="1296" width="14.28515625" style="13" bestFit="1" customWidth="1"/>
    <col min="1297" max="1297" width="14" style="13" customWidth="1"/>
    <col min="1298" max="1533" width="8.85546875" style="13"/>
    <col min="1534" max="1534" width="3.85546875" style="13" customWidth="1"/>
    <col min="1535" max="1535" width="8.28515625" style="13" customWidth="1"/>
    <col min="1536" max="1536" width="14.28515625" style="13" bestFit="1" customWidth="1"/>
    <col min="1537" max="1537" width="14.42578125" style="13" bestFit="1" customWidth="1"/>
    <col min="1538" max="1538" width="13" style="13" bestFit="1" customWidth="1"/>
    <col min="1539" max="1539" width="11.42578125" style="13" customWidth="1"/>
    <col min="1540" max="1540" width="14.85546875" style="13" customWidth="1"/>
    <col min="1541" max="1541" width="13" style="13" bestFit="1" customWidth="1"/>
    <col min="1542" max="1542" width="13.140625" style="13" customWidth="1"/>
    <col min="1543" max="1544" width="12.140625" style="13" bestFit="1" customWidth="1"/>
    <col min="1545" max="1546" width="12.5703125" style="13" bestFit="1" customWidth="1"/>
    <col min="1547" max="1547" width="9.85546875" style="13" bestFit="1" customWidth="1"/>
    <col min="1548" max="1550" width="0" style="13" hidden="1" customWidth="1"/>
    <col min="1551" max="1552" width="14.28515625" style="13" bestFit="1" customWidth="1"/>
    <col min="1553" max="1553" width="14" style="13" customWidth="1"/>
    <col min="1554" max="1789" width="8.85546875" style="13"/>
    <col min="1790" max="1790" width="3.85546875" style="13" customWidth="1"/>
    <col min="1791" max="1791" width="8.28515625" style="13" customWidth="1"/>
    <col min="1792" max="1792" width="14.28515625" style="13" bestFit="1" customWidth="1"/>
    <col min="1793" max="1793" width="14.42578125" style="13" bestFit="1" customWidth="1"/>
    <col min="1794" max="1794" width="13" style="13" bestFit="1" customWidth="1"/>
    <col min="1795" max="1795" width="11.42578125" style="13" customWidth="1"/>
    <col min="1796" max="1796" width="14.85546875" style="13" customWidth="1"/>
    <col min="1797" max="1797" width="13" style="13" bestFit="1" customWidth="1"/>
    <col min="1798" max="1798" width="13.140625" style="13" customWidth="1"/>
    <col min="1799" max="1800" width="12.140625" style="13" bestFit="1" customWidth="1"/>
    <col min="1801" max="1802" width="12.5703125" style="13" bestFit="1" customWidth="1"/>
    <col min="1803" max="1803" width="9.85546875" style="13" bestFit="1" customWidth="1"/>
    <col min="1804" max="1806" width="0" style="13" hidden="1" customWidth="1"/>
    <col min="1807" max="1808" width="14.28515625" style="13" bestFit="1" customWidth="1"/>
    <col min="1809" max="1809" width="14" style="13" customWidth="1"/>
    <col min="1810" max="2045" width="8.85546875" style="13"/>
    <col min="2046" max="2046" width="3.85546875" style="13" customWidth="1"/>
    <col min="2047" max="2047" width="8.28515625" style="13" customWidth="1"/>
    <col min="2048" max="2048" width="14.28515625" style="13" bestFit="1" customWidth="1"/>
    <col min="2049" max="2049" width="14.42578125" style="13" bestFit="1" customWidth="1"/>
    <col min="2050" max="2050" width="13" style="13" bestFit="1" customWidth="1"/>
    <col min="2051" max="2051" width="11.42578125" style="13" customWidth="1"/>
    <col min="2052" max="2052" width="14.85546875" style="13" customWidth="1"/>
    <col min="2053" max="2053" width="13" style="13" bestFit="1" customWidth="1"/>
    <col min="2054" max="2054" width="13.140625" style="13" customWidth="1"/>
    <col min="2055" max="2056" width="12.140625" style="13" bestFit="1" customWidth="1"/>
    <col min="2057" max="2058" width="12.5703125" style="13" bestFit="1" customWidth="1"/>
    <col min="2059" max="2059" width="9.85546875" style="13" bestFit="1" customWidth="1"/>
    <col min="2060" max="2062" width="0" style="13" hidden="1" customWidth="1"/>
    <col min="2063" max="2064" width="14.28515625" style="13" bestFit="1" customWidth="1"/>
    <col min="2065" max="2065" width="14" style="13" customWidth="1"/>
    <col min="2066" max="2301" width="8.85546875" style="13"/>
    <col min="2302" max="2302" width="3.85546875" style="13" customWidth="1"/>
    <col min="2303" max="2303" width="8.28515625" style="13" customWidth="1"/>
    <col min="2304" max="2304" width="14.28515625" style="13" bestFit="1" customWidth="1"/>
    <col min="2305" max="2305" width="14.42578125" style="13" bestFit="1" customWidth="1"/>
    <col min="2306" max="2306" width="13" style="13" bestFit="1" customWidth="1"/>
    <col min="2307" max="2307" width="11.42578125" style="13" customWidth="1"/>
    <col min="2308" max="2308" width="14.85546875" style="13" customWidth="1"/>
    <col min="2309" max="2309" width="13" style="13" bestFit="1" customWidth="1"/>
    <col min="2310" max="2310" width="13.140625" style="13" customWidth="1"/>
    <col min="2311" max="2312" width="12.140625" style="13" bestFit="1" customWidth="1"/>
    <col min="2313" max="2314" width="12.5703125" style="13" bestFit="1" customWidth="1"/>
    <col min="2315" max="2315" width="9.85546875" style="13" bestFit="1" customWidth="1"/>
    <col min="2316" max="2318" width="0" style="13" hidden="1" customWidth="1"/>
    <col min="2319" max="2320" width="14.28515625" style="13" bestFit="1" customWidth="1"/>
    <col min="2321" max="2321" width="14" style="13" customWidth="1"/>
    <col min="2322" max="2557" width="8.85546875" style="13"/>
    <col min="2558" max="2558" width="3.85546875" style="13" customWidth="1"/>
    <col min="2559" max="2559" width="8.28515625" style="13" customWidth="1"/>
    <col min="2560" max="2560" width="14.28515625" style="13" bestFit="1" customWidth="1"/>
    <col min="2561" max="2561" width="14.42578125" style="13" bestFit="1" customWidth="1"/>
    <col min="2562" max="2562" width="13" style="13" bestFit="1" customWidth="1"/>
    <col min="2563" max="2563" width="11.42578125" style="13" customWidth="1"/>
    <col min="2564" max="2564" width="14.85546875" style="13" customWidth="1"/>
    <col min="2565" max="2565" width="13" style="13" bestFit="1" customWidth="1"/>
    <col min="2566" max="2566" width="13.140625" style="13" customWidth="1"/>
    <col min="2567" max="2568" width="12.140625" style="13" bestFit="1" customWidth="1"/>
    <col min="2569" max="2570" width="12.5703125" style="13" bestFit="1" customWidth="1"/>
    <col min="2571" max="2571" width="9.85546875" style="13" bestFit="1" customWidth="1"/>
    <col min="2572" max="2574" width="0" style="13" hidden="1" customWidth="1"/>
    <col min="2575" max="2576" width="14.28515625" style="13" bestFit="1" customWidth="1"/>
    <col min="2577" max="2577" width="14" style="13" customWidth="1"/>
    <col min="2578" max="2813" width="8.85546875" style="13"/>
    <col min="2814" max="2814" width="3.85546875" style="13" customWidth="1"/>
    <col min="2815" max="2815" width="8.28515625" style="13" customWidth="1"/>
    <col min="2816" max="2816" width="14.28515625" style="13" bestFit="1" customWidth="1"/>
    <col min="2817" max="2817" width="14.42578125" style="13" bestFit="1" customWidth="1"/>
    <col min="2818" max="2818" width="13" style="13" bestFit="1" customWidth="1"/>
    <col min="2819" max="2819" width="11.42578125" style="13" customWidth="1"/>
    <col min="2820" max="2820" width="14.85546875" style="13" customWidth="1"/>
    <col min="2821" max="2821" width="13" style="13" bestFit="1" customWidth="1"/>
    <col min="2822" max="2822" width="13.140625" style="13" customWidth="1"/>
    <col min="2823" max="2824" width="12.140625" style="13" bestFit="1" customWidth="1"/>
    <col min="2825" max="2826" width="12.5703125" style="13" bestFit="1" customWidth="1"/>
    <col min="2827" max="2827" width="9.85546875" style="13" bestFit="1" customWidth="1"/>
    <col min="2828" max="2830" width="0" style="13" hidden="1" customWidth="1"/>
    <col min="2831" max="2832" width="14.28515625" style="13" bestFit="1" customWidth="1"/>
    <col min="2833" max="2833" width="14" style="13" customWidth="1"/>
    <col min="2834" max="3069" width="8.85546875" style="13"/>
    <col min="3070" max="3070" width="3.85546875" style="13" customWidth="1"/>
    <col min="3071" max="3071" width="8.28515625" style="13" customWidth="1"/>
    <col min="3072" max="3072" width="14.28515625" style="13" bestFit="1" customWidth="1"/>
    <col min="3073" max="3073" width="14.42578125" style="13" bestFit="1" customWidth="1"/>
    <col min="3074" max="3074" width="13" style="13" bestFit="1" customWidth="1"/>
    <col min="3075" max="3075" width="11.42578125" style="13" customWidth="1"/>
    <col min="3076" max="3076" width="14.85546875" style="13" customWidth="1"/>
    <col min="3077" max="3077" width="13" style="13" bestFit="1" customWidth="1"/>
    <col min="3078" max="3078" width="13.140625" style="13" customWidth="1"/>
    <col min="3079" max="3080" width="12.140625" style="13" bestFit="1" customWidth="1"/>
    <col min="3081" max="3082" width="12.5703125" style="13" bestFit="1" customWidth="1"/>
    <col min="3083" max="3083" width="9.85546875" style="13" bestFit="1" customWidth="1"/>
    <col min="3084" max="3086" width="0" style="13" hidden="1" customWidth="1"/>
    <col min="3087" max="3088" width="14.28515625" style="13" bestFit="1" customWidth="1"/>
    <col min="3089" max="3089" width="14" style="13" customWidth="1"/>
    <col min="3090" max="3325" width="8.85546875" style="13"/>
    <col min="3326" max="3326" width="3.85546875" style="13" customWidth="1"/>
    <col min="3327" max="3327" width="8.28515625" style="13" customWidth="1"/>
    <col min="3328" max="3328" width="14.28515625" style="13" bestFit="1" customWidth="1"/>
    <col min="3329" max="3329" width="14.42578125" style="13" bestFit="1" customWidth="1"/>
    <col min="3330" max="3330" width="13" style="13" bestFit="1" customWidth="1"/>
    <col min="3331" max="3331" width="11.42578125" style="13" customWidth="1"/>
    <col min="3332" max="3332" width="14.85546875" style="13" customWidth="1"/>
    <col min="3333" max="3333" width="13" style="13" bestFit="1" customWidth="1"/>
    <col min="3334" max="3334" width="13.140625" style="13" customWidth="1"/>
    <col min="3335" max="3336" width="12.140625" style="13" bestFit="1" customWidth="1"/>
    <col min="3337" max="3338" width="12.5703125" style="13" bestFit="1" customWidth="1"/>
    <col min="3339" max="3339" width="9.85546875" style="13" bestFit="1" customWidth="1"/>
    <col min="3340" max="3342" width="0" style="13" hidden="1" customWidth="1"/>
    <col min="3343" max="3344" width="14.28515625" style="13" bestFit="1" customWidth="1"/>
    <col min="3345" max="3345" width="14" style="13" customWidth="1"/>
    <col min="3346" max="3581" width="8.85546875" style="13"/>
    <col min="3582" max="3582" width="3.85546875" style="13" customWidth="1"/>
    <col min="3583" max="3583" width="8.28515625" style="13" customWidth="1"/>
    <col min="3584" max="3584" width="14.28515625" style="13" bestFit="1" customWidth="1"/>
    <col min="3585" max="3585" width="14.42578125" style="13" bestFit="1" customWidth="1"/>
    <col min="3586" max="3586" width="13" style="13" bestFit="1" customWidth="1"/>
    <col min="3587" max="3587" width="11.42578125" style="13" customWidth="1"/>
    <col min="3588" max="3588" width="14.85546875" style="13" customWidth="1"/>
    <col min="3589" max="3589" width="13" style="13" bestFit="1" customWidth="1"/>
    <col min="3590" max="3590" width="13.140625" style="13" customWidth="1"/>
    <col min="3591" max="3592" width="12.140625" style="13" bestFit="1" customWidth="1"/>
    <col min="3593" max="3594" width="12.5703125" style="13" bestFit="1" customWidth="1"/>
    <col min="3595" max="3595" width="9.85546875" style="13" bestFit="1" customWidth="1"/>
    <col min="3596" max="3598" width="0" style="13" hidden="1" customWidth="1"/>
    <col min="3599" max="3600" width="14.28515625" style="13" bestFit="1" customWidth="1"/>
    <col min="3601" max="3601" width="14" style="13" customWidth="1"/>
    <col min="3602" max="3837" width="8.85546875" style="13"/>
    <col min="3838" max="3838" width="3.85546875" style="13" customWidth="1"/>
    <col min="3839" max="3839" width="8.28515625" style="13" customWidth="1"/>
    <col min="3840" max="3840" width="14.28515625" style="13" bestFit="1" customWidth="1"/>
    <col min="3841" max="3841" width="14.42578125" style="13" bestFit="1" customWidth="1"/>
    <col min="3842" max="3842" width="13" style="13" bestFit="1" customWidth="1"/>
    <col min="3843" max="3843" width="11.42578125" style="13" customWidth="1"/>
    <col min="3844" max="3844" width="14.85546875" style="13" customWidth="1"/>
    <col min="3845" max="3845" width="13" style="13" bestFit="1" customWidth="1"/>
    <col min="3846" max="3846" width="13.140625" style="13" customWidth="1"/>
    <col min="3847" max="3848" width="12.140625" style="13" bestFit="1" customWidth="1"/>
    <col min="3849" max="3850" width="12.5703125" style="13" bestFit="1" customWidth="1"/>
    <col min="3851" max="3851" width="9.85546875" style="13" bestFit="1" customWidth="1"/>
    <col min="3852" max="3854" width="0" style="13" hidden="1" customWidth="1"/>
    <col min="3855" max="3856" width="14.28515625" style="13" bestFit="1" customWidth="1"/>
    <col min="3857" max="3857" width="14" style="13" customWidth="1"/>
    <col min="3858" max="4093" width="8.85546875" style="13"/>
    <col min="4094" max="4094" width="3.85546875" style="13" customWidth="1"/>
    <col min="4095" max="4095" width="8.28515625" style="13" customWidth="1"/>
    <col min="4096" max="4096" width="14.28515625" style="13" bestFit="1" customWidth="1"/>
    <col min="4097" max="4097" width="14.42578125" style="13" bestFit="1" customWidth="1"/>
    <col min="4098" max="4098" width="13" style="13" bestFit="1" customWidth="1"/>
    <col min="4099" max="4099" width="11.42578125" style="13" customWidth="1"/>
    <col min="4100" max="4100" width="14.85546875" style="13" customWidth="1"/>
    <col min="4101" max="4101" width="13" style="13" bestFit="1" customWidth="1"/>
    <col min="4102" max="4102" width="13.140625" style="13" customWidth="1"/>
    <col min="4103" max="4104" width="12.140625" style="13" bestFit="1" customWidth="1"/>
    <col min="4105" max="4106" width="12.5703125" style="13" bestFit="1" customWidth="1"/>
    <col min="4107" max="4107" width="9.85546875" style="13" bestFit="1" customWidth="1"/>
    <col min="4108" max="4110" width="0" style="13" hidden="1" customWidth="1"/>
    <col min="4111" max="4112" width="14.28515625" style="13" bestFit="1" customWidth="1"/>
    <col min="4113" max="4113" width="14" style="13" customWidth="1"/>
    <col min="4114" max="4349" width="8.85546875" style="13"/>
    <col min="4350" max="4350" width="3.85546875" style="13" customWidth="1"/>
    <col min="4351" max="4351" width="8.28515625" style="13" customWidth="1"/>
    <col min="4352" max="4352" width="14.28515625" style="13" bestFit="1" customWidth="1"/>
    <col min="4353" max="4353" width="14.42578125" style="13" bestFit="1" customWidth="1"/>
    <col min="4354" max="4354" width="13" style="13" bestFit="1" customWidth="1"/>
    <col min="4355" max="4355" width="11.42578125" style="13" customWidth="1"/>
    <col min="4356" max="4356" width="14.85546875" style="13" customWidth="1"/>
    <col min="4357" max="4357" width="13" style="13" bestFit="1" customWidth="1"/>
    <col min="4358" max="4358" width="13.140625" style="13" customWidth="1"/>
    <col min="4359" max="4360" width="12.140625" style="13" bestFit="1" customWidth="1"/>
    <col min="4361" max="4362" width="12.5703125" style="13" bestFit="1" customWidth="1"/>
    <col min="4363" max="4363" width="9.85546875" style="13" bestFit="1" customWidth="1"/>
    <col min="4364" max="4366" width="0" style="13" hidden="1" customWidth="1"/>
    <col min="4367" max="4368" width="14.28515625" style="13" bestFit="1" customWidth="1"/>
    <col min="4369" max="4369" width="14" style="13" customWidth="1"/>
    <col min="4370" max="4605" width="8.85546875" style="13"/>
    <col min="4606" max="4606" width="3.85546875" style="13" customWidth="1"/>
    <col min="4607" max="4607" width="8.28515625" style="13" customWidth="1"/>
    <col min="4608" max="4608" width="14.28515625" style="13" bestFit="1" customWidth="1"/>
    <col min="4609" max="4609" width="14.42578125" style="13" bestFit="1" customWidth="1"/>
    <col min="4610" max="4610" width="13" style="13" bestFit="1" customWidth="1"/>
    <col min="4611" max="4611" width="11.42578125" style="13" customWidth="1"/>
    <col min="4612" max="4612" width="14.85546875" style="13" customWidth="1"/>
    <col min="4613" max="4613" width="13" style="13" bestFit="1" customWidth="1"/>
    <col min="4614" max="4614" width="13.140625" style="13" customWidth="1"/>
    <col min="4615" max="4616" width="12.140625" style="13" bestFit="1" customWidth="1"/>
    <col min="4617" max="4618" width="12.5703125" style="13" bestFit="1" customWidth="1"/>
    <col min="4619" max="4619" width="9.85546875" style="13" bestFit="1" customWidth="1"/>
    <col min="4620" max="4622" width="0" style="13" hidden="1" customWidth="1"/>
    <col min="4623" max="4624" width="14.28515625" style="13" bestFit="1" customWidth="1"/>
    <col min="4625" max="4625" width="14" style="13" customWidth="1"/>
    <col min="4626" max="4861" width="8.85546875" style="13"/>
    <col min="4862" max="4862" width="3.85546875" style="13" customWidth="1"/>
    <col min="4863" max="4863" width="8.28515625" style="13" customWidth="1"/>
    <col min="4864" max="4864" width="14.28515625" style="13" bestFit="1" customWidth="1"/>
    <col min="4865" max="4865" width="14.42578125" style="13" bestFit="1" customWidth="1"/>
    <col min="4866" max="4866" width="13" style="13" bestFit="1" customWidth="1"/>
    <col min="4867" max="4867" width="11.42578125" style="13" customWidth="1"/>
    <col min="4868" max="4868" width="14.85546875" style="13" customWidth="1"/>
    <col min="4869" max="4869" width="13" style="13" bestFit="1" customWidth="1"/>
    <col min="4870" max="4870" width="13.140625" style="13" customWidth="1"/>
    <col min="4871" max="4872" width="12.140625" style="13" bestFit="1" customWidth="1"/>
    <col min="4873" max="4874" width="12.5703125" style="13" bestFit="1" customWidth="1"/>
    <col min="4875" max="4875" width="9.85546875" style="13" bestFit="1" customWidth="1"/>
    <col min="4876" max="4878" width="0" style="13" hidden="1" customWidth="1"/>
    <col min="4879" max="4880" width="14.28515625" style="13" bestFit="1" customWidth="1"/>
    <col min="4881" max="4881" width="14" style="13" customWidth="1"/>
    <col min="4882" max="5117" width="8.85546875" style="13"/>
    <col min="5118" max="5118" width="3.85546875" style="13" customWidth="1"/>
    <col min="5119" max="5119" width="8.28515625" style="13" customWidth="1"/>
    <col min="5120" max="5120" width="14.28515625" style="13" bestFit="1" customWidth="1"/>
    <col min="5121" max="5121" width="14.42578125" style="13" bestFit="1" customWidth="1"/>
    <col min="5122" max="5122" width="13" style="13" bestFit="1" customWidth="1"/>
    <col min="5123" max="5123" width="11.42578125" style="13" customWidth="1"/>
    <col min="5124" max="5124" width="14.85546875" style="13" customWidth="1"/>
    <col min="5125" max="5125" width="13" style="13" bestFit="1" customWidth="1"/>
    <col min="5126" max="5126" width="13.140625" style="13" customWidth="1"/>
    <col min="5127" max="5128" width="12.140625" style="13" bestFit="1" customWidth="1"/>
    <col min="5129" max="5130" width="12.5703125" style="13" bestFit="1" customWidth="1"/>
    <col min="5131" max="5131" width="9.85546875" style="13" bestFit="1" customWidth="1"/>
    <col min="5132" max="5134" width="0" style="13" hidden="1" customWidth="1"/>
    <col min="5135" max="5136" width="14.28515625" style="13" bestFit="1" customWidth="1"/>
    <col min="5137" max="5137" width="14" style="13" customWidth="1"/>
    <col min="5138" max="5373" width="8.85546875" style="13"/>
    <col min="5374" max="5374" width="3.85546875" style="13" customWidth="1"/>
    <col min="5375" max="5375" width="8.28515625" style="13" customWidth="1"/>
    <col min="5376" max="5376" width="14.28515625" style="13" bestFit="1" customWidth="1"/>
    <col min="5377" max="5377" width="14.42578125" style="13" bestFit="1" customWidth="1"/>
    <col min="5378" max="5378" width="13" style="13" bestFit="1" customWidth="1"/>
    <col min="5379" max="5379" width="11.42578125" style="13" customWidth="1"/>
    <col min="5380" max="5380" width="14.85546875" style="13" customWidth="1"/>
    <col min="5381" max="5381" width="13" style="13" bestFit="1" customWidth="1"/>
    <col min="5382" max="5382" width="13.140625" style="13" customWidth="1"/>
    <col min="5383" max="5384" width="12.140625" style="13" bestFit="1" customWidth="1"/>
    <col min="5385" max="5386" width="12.5703125" style="13" bestFit="1" customWidth="1"/>
    <col min="5387" max="5387" width="9.85546875" style="13" bestFit="1" customWidth="1"/>
    <col min="5388" max="5390" width="0" style="13" hidden="1" customWidth="1"/>
    <col min="5391" max="5392" width="14.28515625" style="13" bestFit="1" customWidth="1"/>
    <col min="5393" max="5393" width="14" style="13" customWidth="1"/>
    <col min="5394" max="5629" width="8.85546875" style="13"/>
    <col min="5630" max="5630" width="3.85546875" style="13" customWidth="1"/>
    <col min="5631" max="5631" width="8.28515625" style="13" customWidth="1"/>
    <col min="5632" max="5632" width="14.28515625" style="13" bestFit="1" customWidth="1"/>
    <col min="5633" max="5633" width="14.42578125" style="13" bestFit="1" customWidth="1"/>
    <col min="5634" max="5634" width="13" style="13" bestFit="1" customWidth="1"/>
    <col min="5635" max="5635" width="11.42578125" style="13" customWidth="1"/>
    <col min="5636" max="5636" width="14.85546875" style="13" customWidth="1"/>
    <col min="5637" max="5637" width="13" style="13" bestFit="1" customWidth="1"/>
    <col min="5638" max="5638" width="13.140625" style="13" customWidth="1"/>
    <col min="5639" max="5640" width="12.140625" style="13" bestFit="1" customWidth="1"/>
    <col min="5641" max="5642" width="12.5703125" style="13" bestFit="1" customWidth="1"/>
    <col min="5643" max="5643" width="9.85546875" style="13" bestFit="1" customWidth="1"/>
    <col min="5644" max="5646" width="0" style="13" hidden="1" customWidth="1"/>
    <col min="5647" max="5648" width="14.28515625" style="13" bestFit="1" customWidth="1"/>
    <col min="5649" max="5649" width="14" style="13" customWidth="1"/>
    <col min="5650" max="5885" width="8.85546875" style="13"/>
    <col min="5886" max="5886" width="3.85546875" style="13" customWidth="1"/>
    <col min="5887" max="5887" width="8.28515625" style="13" customWidth="1"/>
    <col min="5888" max="5888" width="14.28515625" style="13" bestFit="1" customWidth="1"/>
    <col min="5889" max="5889" width="14.42578125" style="13" bestFit="1" customWidth="1"/>
    <col min="5890" max="5890" width="13" style="13" bestFit="1" customWidth="1"/>
    <col min="5891" max="5891" width="11.42578125" style="13" customWidth="1"/>
    <col min="5892" max="5892" width="14.85546875" style="13" customWidth="1"/>
    <col min="5893" max="5893" width="13" style="13" bestFit="1" customWidth="1"/>
    <col min="5894" max="5894" width="13.140625" style="13" customWidth="1"/>
    <col min="5895" max="5896" width="12.140625" style="13" bestFit="1" customWidth="1"/>
    <col min="5897" max="5898" width="12.5703125" style="13" bestFit="1" customWidth="1"/>
    <col min="5899" max="5899" width="9.85546875" style="13" bestFit="1" customWidth="1"/>
    <col min="5900" max="5902" width="0" style="13" hidden="1" customWidth="1"/>
    <col min="5903" max="5904" width="14.28515625" style="13" bestFit="1" customWidth="1"/>
    <col min="5905" max="5905" width="14" style="13" customWidth="1"/>
    <col min="5906" max="6141" width="8.85546875" style="13"/>
    <col min="6142" max="6142" width="3.85546875" style="13" customWidth="1"/>
    <col min="6143" max="6143" width="8.28515625" style="13" customWidth="1"/>
    <col min="6144" max="6144" width="14.28515625" style="13" bestFit="1" customWidth="1"/>
    <col min="6145" max="6145" width="14.42578125" style="13" bestFit="1" customWidth="1"/>
    <col min="6146" max="6146" width="13" style="13" bestFit="1" customWidth="1"/>
    <col min="6147" max="6147" width="11.42578125" style="13" customWidth="1"/>
    <col min="6148" max="6148" width="14.85546875" style="13" customWidth="1"/>
    <col min="6149" max="6149" width="13" style="13" bestFit="1" customWidth="1"/>
    <col min="6150" max="6150" width="13.140625" style="13" customWidth="1"/>
    <col min="6151" max="6152" width="12.140625" style="13" bestFit="1" customWidth="1"/>
    <col min="6153" max="6154" width="12.5703125" style="13" bestFit="1" customWidth="1"/>
    <col min="6155" max="6155" width="9.85546875" style="13" bestFit="1" customWidth="1"/>
    <col min="6156" max="6158" width="0" style="13" hidden="1" customWidth="1"/>
    <col min="6159" max="6160" width="14.28515625" style="13" bestFit="1" customWidth="1"/>
    <col min="6161" max="6161" width="14" style="13" customWidth="1"/>
    <col min="6162" max="6397" width="8.85546875" style="13"/>
    <col min="6398" max="6398" width="3.85546875" style="13" customWidth="1"/>
    <col min="6399" max="6399" width="8.28515625" style="13" customWidth="1"/>
    <col min="6400" max="6400" width="14.28515625" style="13" bestFit="1" customWidth="1"/>
    <col min="6401" max="6401" width="14.42578125" style="13" bestFit="1" customWidth="1"/>
    <col min="6402" max="6402" width="13" style="13" bestFit="1" customWidth="1"/>
    <col min="6403" max="6403" width="11.42578125" style="13" customWidth="1"/>
    <col min="6404" max="6404" width="14.85546875" style="13" customWidth="1"/>
    <col min="6405" max="6405" width="13" style="13" bestFit="1" customWidth="1"/>
    <col min="6406" max="6406" width="13.140625" style="13" customWidth="1"/>
    <col min="6407" max="6408" width="12.140625" style="13" bestFit="1" customWidth="1"/>
    <col min="6409" max="6410" width="12.5703125" style="13" bestFit="1" customWidth="1"/>
    <col min="6411" max="6411" width="9.85546875" style="13" bestFit="1" customWidth="1"/>
    <col min="6412" max="6414" width="0" style="13" hidden="1" customWidth="1"/>
    <col min="6415" max="6416" width="14.28515625" style="13" bestFit="1" customWidth="1"/>
    <col min="6417" max="6417" width="14" style="13" customWidth="1"/>
    <col min="6418" max="6653" width="8.85546875" style="13"/>
    <col min="6654" max="6654" width="3.85546875" style="13" customWidth="1"/>
    <col min="6655" max="6655" width="8.28515625" style="13" customWidth="1"/>
    <col min="6656" max="6656" width="14.28515625" style="13" bestFit="1" customWidth="1"/>
    <col min="6657" max="6657" width="14.42578125" style="13" bestFit="1" customWidth="1"/>
    <col min="6658" max="6658" width="13" style="13" bestFit="1" customWidth="1"/>
    <col min="6659" max="6659" width="11.42578125" style="13" customWidth="1"/>
    <col min="6660" max="6660" width="14.85546875" style="13" customWidth="1"/>
    <col min="6661" max="6661" width="13" style="13" bestFit="1" customWidth="1"/>
    <col min="6662" max="6662" width="13.140625" style="13" customWidth="1"/>
    <col min="6663" max="6664" width="12.140625" style="13" bestFit="1" customWidth="1"/>
    <col min="6665" max="6666" width="12.5703125" style="13" bestFit="1" customWidth="1"/>
    <col min="6667" max="6667" width="9.85546875" style="13" bestFit="1" customWidth="1"/>
    <col min="6668" max="6670" width="0" style="13" hidden="1" customWidth="1"/>
    <col min="6671" max="6672" width="14.28515625" style="13" bestFit="1" customWidth="1"/>
    <col min="6673" max="6673" width="14" style="13" customWidth="1"/>
    <col min="6674" max="6909" width="8.85546875" style="13"/>
    <col min="6910" max="6910" width="3.85546875" style="13" customWidth="1"/>
    <col min="6911" max="6911" width="8.28515625" style="13" customWidth="1"/>
    <col min="6912" max="6912" width="14.28515625" style="13" bestFit="1" customWidth="1"/>
    <col min="6913" max="6913" width="14.42578125" style="13" bestFit="1" customWidth="1"/>
    <col min="6914" max="6914" width="13" style="13" bestFit="1" customWidth="1"/>
    <col min="6915" max="6915" width="11.42578125" style="13" customWidth="1"/>
    <col min="6916" max="6916" width="14.85546875" style="13" customWidth="1"/>
    <col min="6917" max="6917" width="13" style="13" bestFit="1" customWidth="1"/>
    <col min="6918" max="6918" width="13.140625" style="13" customWidth="1"/>
    <col min="6919" max="6920" width="12.140625" style="13" bestFit="1" customWidth="1"/>
    <col min="6921" max="6922" width="12.5703125" style="13" bestFit="1" customWidth="1"/>
    <col min="6923" max="6923" width="9.85546875" style="13" bestFit="1" customWidth="1"/>
    <col min="6924" max="6926" width="0" style="13" hidden="1" customWidth="1"/>
    <col min="6927" max="6928" width="14.28515625" style="13" bestFit="1" customWidth="1"/>
    <col min="6929" max="6929" width="14" style="13" customWidth="1"/>
    <col min="6930" max="7165" width="8.85546875" style="13"/>
    <col min="7166" max="7166" width="3.85546875" style="13" customWidth="1"/>
    <col min="7167" max="7167" width="8.28515625" style="13" customWidth="1"/>
    <col min="7168" max="7168" width="14.28515625" style="13" bestFit="1" customWidth="1"/>
    <col min="7169" max="7169" width="14.42578125" style="13" bestFit="1" customWidth="1"/>
    <col min="7170" max="7170" width="13" style="13" bestFit="1" customWidth="1"/>
    <col min="7171" max="7171" width="11.42578125" style="13" customWidth="1"/>
    <col min="7172" max="7172" width="14.85546875" style="13" customWidth="1"/>
    <col min="7173" max="7173" width="13" style="13" bestFit="1" customWidth="1"/>
    <col min="7174" max="7174" width="13.140625" style="13" customWidth="1"/>
    <col min="7175" max="7176" width="12.140625" style="13" bestFit="1" customWidth="1"/>
    <col min="7177" max="7178" width="12.5703125" style="13" bestFit="1" customWidth="1"/>
    <col min="7179" max="7179" width="9.85546875" style="13" bestFit="1" customWidth="1"/>
    <col min="7180" max="7182" width="0" style="13" hidden="1" customWidth="1"/>
    <col min="7183" max="7184" width="14.28515625" style="13" bestFit="1" customWidth="1"/>
    <col min="7185" max="7185" width="14" style="13" customWidth="1"/>
    <col min="7186" max="7421" width="8.85546875" style="13"/>
    <col min="7422" max="7422" width="3.85546875" style="13" customWidth="1"/>
    <col min="7423" max="7423" width="8.28515625" style="13" customWidth="1"/>
    <col min="7424" max="7424" width="14.28515625" style="13" bestFit="1" customWidth="1"/>
    <col min="7425" max="7425" width="14.42578125" style="13" bestFit="1" customWidth="1"/>
    <col min="7426" max="7426" width="13" style="13" bestFit="1" customWidth="1"/>
    <col min="7427" max="7427" width="11.42578125" style="13" customWidth="1"/>
    <col min="7428" max="7428" width="14.85546875" style="13" customWidth="1"/>
    <col min="7429" max="7429" width="13" style="13" bestFit="1" customWidth="1"/>
    <col min="7430" max="7430" width="13.140625" style="13" customWidth="1"/>
    <col min="7431" max="7432" width="12.140625" style="13" bestFit="1" customWidth="1"/>
    <col min="7433" max="7434" width="12.5703125" style="13" bestFit="1" customWidth="1"/>
    <col min="7435" max="7435" width="9.85546875" style="13" bestFit="1" customWidth="1"/>
    <col min="7436" max="7438" width="0" style="13" hidden="1" customWidth="1"/>
    <col min="7439" max="7440" width="14.28515625" style="13" bestFit="1" customWidth="1"/>
    <col min="7441" max="7441" width="14" style="13" customWidth="1"/>
    <col min="7442" max="7677" width="8.85546875" style="13"/>
    <col min="7678" max="7678" width="3.85546875" style="13" customWidth="1"/>
    <col min="7679" max="7679" width="8.28515625" style="13" customWidth="1"/>
    <col min="7680" max="7680" width="14.28515625" style="13" bestFit="1" customWidth="1"/>
    <col min="7681" max="7681" width="14.42578125" style="13" bestFit="1" customWidth="1"/>
    <col min="7682" max="7682" width="13" style="13" bestFit="1" customWidth="1"/>
    <col min="7683" max="7683" width="11.42578125" style="13" customWidth="1"/>
    <col min="7684" max="7684" width="14.85546875" style="13" customWidth="1"/>
    <col min="7685" max="7685" width="13" style="13" bestFit="1" customWidth="1"/>
    <col min="7686" max="7686" width="13.140625" style="13" customWidth="1"/>
    <col min="7687" max="7688" width="12.140625" style="13" bestFit="1" customWidth="1"/>
    <col min="7689" max="7690" width="12.5703125" style="13" bestFit="1" customWidth="1"/>
    <col min="7691" max="7691" width="9.85546875" style="13" bestFit="1" customWidth="1"/>
    <col min="7692" max="7694" width="0" style="13" hidden="1" customWidth="1"/>
    <col min="7695" max="7696" width="14.28515625" style="13" bestFit="1" customWidth="1"/>
    <col min="7697" max="7697" width="14" style="13" customWidth="1"/>
    <col min="7698" max="7933" width="8.85546875" style="13"/>
    <col min="7934" max="7934" width="3.85546875" style="13" customWidth="1"/>
    <col min="7935" max="7935" width="8.28515625" style="13" customWidth="1"/>
    <col min="7936" max="7936" width="14.28515625" style="13" bestFit="1" customWidth="1"/>
    <col min="7937" max="7937" width="14.42578125" style="13" bestFit="1" customWidth="1"/>
    <col min="7938" max="7938" width="13" style="13" bestFit="1" customWidth="1"/>
    <col min="7939" max="7939" width="11.42578125" style="13" customWidth="1"/>
    <col min="7940" max="7940" width="14.85546875" style="13" customWidth="1"/>
    <col min="7941" max="7941" width="13" style="13" bestFit="1" customWidth="1"/>
    <col min="7942" max="7942" width="13.140625" style="13" customWidth="1"/>
    <col min="7943" max="7944" width="12.140625" style="13" bestFit="1" customWidth="1"/>
    <col min="7945" max="7946" width="12.5703125" style="13" bestFit="1" customWidth="1"/>
    <col min="7947" max="7947" width="9.85546875" style="13" bestFit="1" customWidth="1"/>
    <col min="7948" max="7950" width="0" style="13" hidden="1" customWidth="1"/>
    <col min="7951" max="7952" width="14.28515625" style="13" bestFit="1" customWidth="1"/>
    <col min="7953" max="7953" width="14" style="13" customWidth="1"/>
    <col min="7954" max="8189" width="8.85546875" style="13"/>
    <col min="8190" max="8190" width="3.85546875" style="13" customWidth="1"/>
    <col min="8191" max="8191" width="8.28515625" style="13" customWidth="1"/>
    <col min="8192" max="8192" width="14.28515625" style="13" bestFit="1" customWidth="1"/>
    <col min="8193" max="8193" width="14.42578125" style="13" bestFit="1" customWidth="1"/>
    <col min="8194" max="8194" width="13" style="13" bestFit="1" customWidth="1"/>
    <col min="8195" max="8195" width="11.42578125" style="13" customWidth="1"/>
    <col min="8196" max="8196" width="14.85546875" style="13" customWidth="1"/>
    <col min="8197" max="8197" width="13" style="13" bestFit="1" customWidth="1"/>
    <col min="8198" max="8198" width="13.140625" style="13" customWidth="1"/>
    <col min="8199" max="8200" width="12.140625" style="13" bestFit="1" customWidth="1"/>
    <col min="8201" max="8202" width="12.5703125" style="13" bestFit="1" customWidth="1"/>
    <col min="8203" max="8203" width="9.85546875" style="13" bestFit="1" customWidth="1"/>
    <col min="8204" max="8206" width="0" style="13" hidden="1" customWidth="1"/>
    <col min="8207" max="8208" width="14.28515625" style="13" bestFit="1" customWidth="1"/>
    <col min="8209" max="8209" width="14" style="13" customWidth="1"/>
    <col min="8210" max="8445" width="8.85546875" style="13"/>
    <col min="8446" max="8446" width="3.85546875" style="13" customWidth="1"/>
    <col min="8447" max="8447" width="8.28515625" style="13" customWidth="1"/>
    <col min="8448" max="8448" width="14.28515625" style="13" bestFit="1" customWidth="1"/>
    <col min="8449" max="8449" width="14.42578125" style="13" bestFit="1" customWidth="1"/>
    <col min="8450" max="8450" width="13" style="13" bestFit="1" customWidth="1"/>
    <col min="8451" max="8451" width="11.42578125" style="13" customWidth="1"/>
    <col min="8452" max="8452" width="14.85546875" style="13" customWidth="1"/>
    <col min="8453" max="8453" width="13" style="13" bestFit="1" customWidth="1"/>
    <col min="8454" max="8454" width="13.140625" style="13" customWidth="1"/>
    <col min="8455" max="8456" width="12.140625" style="13" bestFit="1" customWidth="1"/>
    <col min="8457" max="8458" width="12.5703125" style="13" bestFit="1" customWidth="1"/>
    <col min="8459" max="8459" width="9.85546875" style="13" bestFit="1" customWidth="1"/>
    <col min="8460" max="8462" width="0" style="13" hidden="1" customWidth="1"/>
    <col min="8463" max="8464" width="14.28515625" style="13" bestFit="1" customWidth="1"/>
    <col min="8465" max="8465" width="14" style="13" customWidth="1"/>
    <col min="8466" max="8701" width="8.85546875" style="13"/>
    <col min="8702" max="8702" width="3.85546875" style="13" customWidth="1"/>
    <col min="8703" max="8703" width="8.28515625" style="13" customWidth="1"/>
    <col min="8704" max="8704" width="14.28515625" style="13" bestFit="1" customWidth="1"/>
    <col min="8705" max="8705" width="14.42578125" style="13" bestFit="1" customWidth="1"/>
    <col min="8706" max="8706" width="13" style="13" bestFit="1" customWidth="1"/>
    <col min="8707" max="8707" width="11.42578125" style="13" customWidth="1"/>
    <col min="8708" max="8708" width="14.85546875" style="13" customWidth="1"/>
    <col min="8709" max="8709" width="13" style="13" bestFit="1" customWidth="1"/>
    <col min="8710" max="8710" width="13.140625" style="13" customWidth="1"/>
    <col min="8711" max="8712" width="12.140625" style="13" bestFit="1" customWidth="1"/>
    <col min="8713" max="8714" width="12.5703125" style="13" bestFit="1" customWidth="1"/>
    <col min="8715" max="8715" width="9.85546875" style="13" bestFit="1" customWidth="1"/>
    <col min="8716" max="8718" width="0" style="13" hidden="1" customWidth="1"/>
    <col min="8719" max="8720" width="14.28515625" style="13" bestFit="1" customWidth="1"/>
    <col min="8721" max="8721" width="14" style="13" customWidth="1"/>
    <col min="8722" max="8957" width="8.85546875" style="13"/>
    <col min="8958" max="8958" width="3.85546875" style="13" customWidth="1"/>
    <col min="8959" max="8959" width="8.28515625" style="13" customWidth="1"/>
    <col min="8960" max="8960" width="14.28515625" style="13" bestFit="1" customWidth="1"/>
    <col min="8961" max="8961" width="14.42578125" style="13" bestFit="1" customWidth="1"/>
    <col min="8962" max="8962" width="13" style="13" bestFit="1" customWidth="1"/>
    <col min="8963" max="8963" width="11.42578125" style="13" customWidth="1"/>
    <col min="8964" max="8964" width="14.85546875" style="13" customWidth="1"/>
    <col min="8965" max="8965" width="13" style="13" bestFit="1" customWidth="1"/>
    <col min="8966" max="8966" width="13.140625" style="13" customWidth="1"/>
    <col min="8967" max="8968" width="12.140625" style="13" bestFit="1" customWidth="1"/>
    <col min="8969" max="8970" width="12.5703125" style="13" bestFit="1" customWidth="1"/>
    <col min="8971" max="8971" width="9.85546875" style="13" bestFit="1" customWidth="1"/>
    <col min="8972" max="8974" width="0" style="13" hidden="1" customWidth="1"/>
    <col min="8975" max="8976" width="14.28515625" style="13" bestFit="1" customWidth="1"/>
    <col min="8977" max="8977" width="14" style="13" customWidth="1"/>
    <col min="8978" max="9213" width="8.85546875" style="13"/>
    <col min="9214" max="9214" width="3.85546875" style="13" customWidth="1"/>
    <col min="9215" max="9215" width="8.28515625" style="13" customWidth="1"/>
    <col min="9216" max="9216" width="14.28515625" style="13" bestFit="1" customWidth="1"/>
    <col min="9217" max="9217" width="14.42578125" style="13" bestFit="1" customWidth="1"/>
    <col min="9218" max="9218" width="13" style="13" bestFit="1" customWidth="1"/>
    <col min="9219" max="9219" width="11.42578125" style="13" customWidth="1"/>
    <col min="9220" max="9220" width="14.85546875" style="13" customWidth="1"/>
    <col min="9221" max="9221" width="13" style="13" bestFit="1" customWidth="1"/>
    <col min="9222" max="9222" width="13.140625" style="13" customWidth="1"/>
    <col min="9223" max="9224" width="12.140625" style="13" bestFit="1" customWidth="1"/>
    <col min="9225" max="9226" width="12.5703125" style="13" bestFit="1" customWidth="1"/>
    <col min="9227" max="9227" width="9.85546875" style="13" bestFit="1" customWidth="1"/>
    <col min="9228" max="9230" width="0" style="13" hidden="1" customWidth="1"/>
    <col min="9231" max="9232" width="14.28515625" style="13" bestFit="1" customWidth="1"/>
    <col min="9233" max="9233" width="14" style="13" customWidth="1"/>
    <col min="9234" max="9469" width="8.85546875" style="13"/>
    <col min="9470" max="9470" width="3.85546875" style="13" customWidth="1"/>
    <col min="9471" max="9471" width="8.28515625" style="13" customWidth="1"/>
    <col min="9472" max="9472" width="14.28515625" style="13" bestFit="1" customWidth="1"/>
    <col min="9473" max="9473" width="14.42578125" style="13" bestFit="1" customWidth="1"/>
    <col min="9474" max="9474" width="13" style="13" bestFit="1" customWidth="1"/>
    <col min="9475" max="9475" width="11.42578125" style="13" customWidth="1"/>
    <col min="9476" max="9476" width="14.85546875" style="13" customWidth="1"/>
    <col min="9477" max="9477" width="13" style="13" bestFit="1" customWidth="1"/>
    <col min="9478" max="9478" width="13.140625" style="13" customWidth="1"/>
    <col min="9479" max="9480" width="12.140625" style="13" bestFit="1" customWidth="1"/>
    <col min="9481" max="9482" width="12.5703125" style="13" bestFit="1" customWidth="1"/>
    <col min="9483" max="9483" width="9.85546875" style="13" bestFit="1" customWidth="1"/>
    <col min="9484" max="9486" width="0" style="13" hidden="1" customWidth="1"/>
    <col min="9487" max="9488" width="14.28515625" style="13" bestFit="1" customWidth="1"/>
    <col min="9489" max="9489" width="14" style="13" customWidth="1"/>
    <col min="9490" max="9725" width="8.85546875" style="13"/>
    <col min="9726" max="9726" width="3.85546875" style="13" customWidth="1"/>
    <col min="9727" max="9727" width="8.28515625" style="13" customWidth="1"/>
    <col min="9728" max="9728" width="14.28515625" style="13" bestFit="1" customWidth="1"/>
    <col min="9729" max="9729" width="14.42578125" style="13" bestFit="1" customWidth="1"/>
    <col min="9730" max="9730" width="13" style="13" bestFit="1" customWidth="1"/>
    <col min="9731" max="9731" width="11.42578125" style="13" customWidth="1"/>
    <col min="9732" max="9732" width="14.85546875" style="13" customWidth="1"/>
    <col min="9733" max="9733" width="13" style="13" bestFit="1" customWidth="1"/>
    <col min="9734" max="9734" width="13.140625" style="13" customWidth="1"/>
    <col min="9735" max="9736" width="12.140625" style="13" bestFit="1" customWidth="1"/>
    <col min="9737" max="9738" width="12.5703125" style="13" bestFit="1" customWidth="1"/>
    <col min="9739" max="9739" width="9.85546875" style="13" bestFit="1" customWidth="1"/>
    <col min="9740" max="9742" width="0" style="13" hidden="1" customWidth="1"/>
    <col min="9743" max="9744" width="14.28515625" style="13" bestFit="1" customWidth="1"/>
    <col min="9745" max="9745" width="14" style="13" customWidth="1"/>
    <col min="9746" max="9981" width="8.85546875" style="13"/>
    <col min="9982" max="9982" width="3.85546875" style="13" customWidth="1"/>
    <col min="9983" max="9983" width="8.28515625" style="13" customWidth="1"/>
    <col min="9984" max="9984" width="14.28515625" style="13" bestFit="1" customWidth="1"/>
    <col min="9985" max="9985" width="14.42578125" style="13" bestFit="1" customWidth="1"/>
    <col min="9986" max="9986" width="13" style="13" bestFit="1" customWidth="1"/>
    <col min="9987" max="9987" width="11.42578125" style="13" customWidth="1"/>
    <col min="9988" max="9988" width="14.85546875" style="13" customWidth="1"/>
    <col min="9989" max="9989" width="13" style="13" bestFit="1" customWidth="1"/>
    <col min="9990" max="9990" width="13.140625" style="13" customWidth="1"/>
    <col min="9991" max="9992" width="12.140625" style="13" bestFit="1" customWidth="1"/>
    <col min="9993" max="9994" width="12.5703125" style="13" bestFit="1" customWidth="1"/>
    <col min="9995" max="9995" width="9.85546875" style="13" bestFit="1" customWidth="1"/>
    <col min="9996" max="9998" width="0" style="13" hidden="1" customWidth="1"/>
    <col min="9999" max="10000" width="14.28515625" style="13" bestFit="1" customWidth="1"/>
    <col min="10001" max="10001" width="14" style="13" customWidth="1"/>
    <col min="10002" max="10237" width="8.85546875" style="13"/>
    <col min="10238" max="10238" width="3.85546875" style="13" customWidth="1"/>
    <col min="10239" max="10239" width="8.28515625" style="13" customWidth="1"/>
    <col min="10240" max="10240" width="14.28515625" style="13" bestFit="1" customWidth="1"/>
    <col min="10241" max="10241" width="14.42578125" style="13" bestFit="1" customWidth="1"/>
    <col min="10242" max="10242" width="13" style="13" bestFit="1" customWidth="1"/>
    <col min="10243" max="10243" width="11.42578125" style="13" customWidth="1"/>
    <col min="10244" max="10244" width="14.85546875" style="13" customWidth="1"/>
    <col min="10245" max="10245" width="13" style="13" bestFit="1" customWidth="1"/>
    <col min="10246" max="10246" width="13.140625" style="13" customWidth="1"/>
    <col min="10247" max="10248" width="12.140625" style="13" bestFit="1" customWidth="1"/>
    <col min="10249" max="10250" width="12.5703125" style="13" bestFit="1" customWidth="1"/>
    <col min="10251" max="10251" width="9.85546875" style="13" bestFit="1" customWidth="1"/>
    <col min="10252" max="10254" width="0" style="13" hidden="1" customWidth="1"/>
    <col min="10255" max="10256" width="14.28515625" style="13" bestFit="1" customWidth="1"/>
    <col min="10257" max="10257" width="14" style="13" customWidth="1"/>
    <col min="10258" max="10493" width="8.85546875" style="13"/>
    <col min="10494" max="10494" width="3.85546875" style="13" customWidth="1"/>
    <col min="10495" max="10495" width="8.28515625" style="13" customWidth="1"/>
    <col min="10496" max="10496" width="14.28515625" style="13" bestFit="1" customWidth="1"/>
    <col min="10497" max="10497" width="14.42578125" style="13" bestFit="1" customWidth="1"/>
    <col min="10498" max="10498" width="13" style="13" bestFit="1" customWidth="1"/>
    <col min="10499" max="10499" width="11.42578125" style="13" customWidth="1"/>
    <col min="10500" max="10500" width="14.85546875" style="13" customWidth="1"/>
    <col min="10501" max="10501" width="13" style="13" bestFit="1" customWidth="1"/>
    <col min="10502" max="10502" width="13.140625" style="13" customWidth="1"/>
    <col min="10503" max="10504" width="12.140625" style="13" bestFit="1" customWidth="1"/>
    <col min="10505" max="10506" width="12.5703125" style="13" bestFit="1" customWidth="1"/>
    <col min="10507" max="10507" width="9.85546875" style="13" bestFit="1" customWidth="1"/>
    <col min="10508" max="10510" width="0" style="13" hidden="1" customWidth="1"/>
    <col min="10511" max="10512" width="14.28515625" style="13" bestFit="1" customWidth="1"/>
    <col min="10513" max="10513" width="14" style="13" customWidth="1"/>
    <col min="10514" max="10749" width="8.85546875" style="13"/>
    <col min="10750" max="10750" width="3.85546875" style="13" customWidth="1"/>
    <col min="10751" max="10751" width="8.28515625" style="13" customWidth="1"/>
    <col min="10752" max="10752" width="14.28515625" style="13" bestFit="1" customWidth="1"/>
    <col min="10753" max="10753" width="14.42578125" style="13" bestFit="1" customWidth="1"/>
    <col min="10754" max="10754" width="13" style="13" bestFit="1" customWidth="1"/>
    <col min="10755" max="10755" width="11.42578125" style="13" customWidth="1"/>
    <col min="10756" max="10756" width="14.85546875" style="13" customWidth="1"/>
    <col min="10757" max="10757" width="13" style="13" bestFit="1" customWidth="1"/>
    <col min="10758" max="10758" width="13.140625" style="13" customWidth="1"/>
    <col min="10759" max="10760" width="12.140625" style="13" bestFit="1" customWidth="1"/>
    <col min="10761" max="10762" width="12.5703125" style="13" bestFit="1" customWidth="1"/>
    <col min="10763" max="10763" width="9.85546875" style="13" bestFit="1" customWidth="1"/>
    <col min="10764" max="10766" width="0" style="13" hidden="1" customWidth="1"/>
    <col min="10767" max="10768" width="14.28515625" style="13" bestFit="1" customWidth="1"/>
    <col min="10769" max="10769" width="14" style="13" customWidth="1"/>
    <col min="10770" max="11005" width="8.85546875" style="13"/>
    <col min="11006" max="11006" width="3.85546875" style="13" customWidth="1"/>
    <col min="11007" max="11007" width="8.28515625" style="13" customWidth="1"/>
    <col min="11008" max="11008" width="14.28515625" style="13" bestFit="1" customWidth="1"/>
    <col min="11009" max="11009" width="14.42578125" style="13" bestFit="1" customWidth="1"/>
    <col min="11010" max="11010" width="13" style="13" bestFit="1" customWidth="1"/>
    <col min="11011" max="11011" width="11.42578125" style="13" customWidth="1"/>
    <col min="11012" max="11012" width="14.85546875" style="13" customWidth="1"/>
    <col min="11013" max="11013" width="13" style="13" bestFit="1" customWidth="1"/>
    <col min="11014" max="11014" width="13.140625" style="13" customWidth="1"/>
    <col min="11015" max="11016" width="12.140625" style="13" bestFit="1" customWidth="1"/>
    <col min="11017" max="11018" width="12.5703125" style="13" bestFit="1" customWidth="1"/>
    <col min="11019" max="11019" width="9.85546875" style="13" bestFit="1" customWidth="1"/>
    <col min="11020" max="11022" width="0" style="13" hidden="1" customWidth="1"/>
    <col min="11023" max="11024" width="14.28515625" style="13" bestFit="1" customWidth="1"/>
    <col min="11025" max="11025" width="14" style="13" customWidth="1"/>
    <col min="11026" max="11261" width="8.85546875" style="13"/>
    <col min="11262" max="11262" width="3.85546875" style="13" customWidth="1"/>
    <col min="11263" max="11263" width="8.28515625" style="13" customWidth="1"/>
    <col min="11264" max="11264" width="14.28515625" style="13" bestFit="1" customWidth="1"/>
    <col min="11265" max="11265" width="14.42578125" style="13" bestFit="1" customWidth="1"/>
    <col min="11266" max="11266" width="13" style="13" bestFit="1" customWidth="1"/>
    <col min="11267" max="11267" width="11.42578125" style="13" customWidth="1"/>
    <col min="11268" max="11268" width="14.85546875" style="13" customWidth="1"/>
    <col min="11269" max="11269" width="13" style="13" bestFit="1" customWidth="1"/>
    <col min="11270" max="11270" width="13.140625" style="13" customWidth="1"/>
    <col min="11271" max="11272" width="12.140625" style="13" bestFit="1" customWidth="1"/>
    <col min="11273" max="11274" width="12.5703125" style="13" bestFit="1" customWidth="1"/>
    <col min="11275" max="11275" width="9.85546875" style="13" bestFit="1" customWidth="1"/>
    <col min="11276" max="11278" width="0" style="13" hidden="1" customWidth="1"/>
    <col min="11279" max="11280" width="14.28515625" style="13" bestFit="1" customWidth="1"/>
    <col min="11281" max="11281" width="14" style="13" customWidth="1"/>
    <col min="11282" max="11517" width="8.85546875" style="13"/>
    <col min="11518" max="11518" width="3.85546875" style="13" customWidth="1"/>
    <col min="11519" max="11519" width="8.28515625" style="13" customWidth="1"/>
    <col min="11520" max="11520" width="14.28515625" style="13" bestFit="1" customWidth="1"/>
    <col min="11521" max="11521" width="14.42578125" style="13" bestFit="1" customWidth="1"/>
    <col min="11522" max="11522" width="13" style="13" bestFit="1" customWidth="1"/>
    <col min="11523" max="11523" width="11.42578125" style="13" customWidth="1"/>
    <col min="11524" max="11524" width="14.85546875" style="13" customWidth="1"/>
    <col min="11525" max="11525" width="13" style="13" bestFit="1" customWidth="1"/>
    <col min="11526" max="11526" width="13.140625" style="13" customWidth="1"/>
    <col min="11527" max="11528" width="12.140625" style="13" bestFit="1" customWidth="1"/>
    <col min="11529" max="11530" width="12.5703125" style="13" bestFit="1" customWidth="1"/>
    <col min="11531" max="11531" width="9.85546875" style="13" bestFit="1" customWidth="1"/>
    <col min="11532" max="11534" width="0" style="13" hidden="1" customWidth="1"/>
    <col min="11535" max="11536" width="14.28515625" style="13" bestFit="1" customWidth="1"/>
    <col min="11537" max="11537" width="14" style="13" customWidth="1"/>
    <col min="11538" max="11773" width="8.85546875" style="13"/>
    <col min="11774" max="11774" width="3.85546875" style="13" customWidth="1"/>
    <col min="11775" max="11775" width="8.28515625" style="13" customWidth="1"/>
    <col min="11776" max="11776" width="14.28515625" style="13" bestFit="1" customWidth="1"/>
    <col min="11777" max="11777" width="14.42578125" style="13" bestFit="1" customWidth="1"/>
    <col min="11778" max="11778" width="13" style="13" bestFit="1" customWidth="1"/>
    <col min="11779" max="11779" width="11.42578125" style="13" customWidth="1"/>
    <col min="11780" max="11780" width="14.85546875" style="13" customWidth="1"/>
    <col min="11781" max="11781" width="13" style="13" bestFit="1" customWidth="1"/>
    <col min="11782" max="11782" width="13.140625" style="13" customWidth="1"/>
    <col min="11783" max="11784" width="12.140625" style="13" bestFit="1" customWidth="1"/>
    <col min="11785" max="11786" width="12.5703125" style="13" bestFit="1" customWidth="1"/>
    <col min="11787" max="11787" width="9.85546875" style="13" bestFit="1" customWidth="1"/>
    <col min="11788" max="11790" width="0" style="13" hidden="1" customWidth="1"/>
    <col min="11791" max="11792" width="14.28515625" style="13" bestFit="1" customWidth="1"/>
    <col min="11793" max="11793" width="14" style="13" customWidth="1"/>
    <col min="11794" max="12029" width="8.85546875" style="13"/>
    <col min="12030" max="12030" width="3.85546875" style="13" customWidth="1"/>
    <col min="12031" max="12031" width="8.28515625" style="13" customWidth="1"/>
    <col min="12032" max="12032" width="14.28515625" style="13" bestFit="1" customWidth="1"/>
    <col min="12033" max="12033" width="14.42578125" style="13" bestFit="1" customWidth="1"/>
    <col min="12034" max="12034" width="13" style="13" bestFit="1" customWidth="1"/>
    <col min="12035" max="12035" width="11.42578125" style="13" customWidth="1"/>
    <col min="12036" max="12036" width="14.85546875" style="13" customWidth="1"/>
    <col min="12037" max="12037" width="13" style="13" bestFit="1" customWidth="1"/>
    <col min="12038" max="12038" width="13.140625" style="13" customWidth="1"/>
    <col min="12039" max="12040" width="12.140625" style="13" bestFit="1" customWidth="1"/>
    <col min="12041" max="12042" width="12.5703125" style="13" bestFit="1" customWidth="1"/>
    <col min="12043" max="12043" width="9.85546875" style="13" bestFit="1" customWidth="1"/>
    <col min="12044" max="12046" width="0" style="13" hidden="1" customWidth="1"/>
    <col min="12047" max="12048" width="14.28515625" style="13" bestFit="1" customWidth="1"/>
    <col min="12049" max="12049" width="14" style="13" customWidth="1"/>
    <col min="12050" max="12285" width="8.85546875" style="13"/>
    <col min="12286" max="12286" width="3.85546875" style="13" customWidth="1"/>
    <col min="12287" max="12287" width="8.28515625" style="13" customWidth="1"/>
    <col min="12288" max="12288" width="14.28515625" style="13" bestFit="1" customWidth="1"/>
    <col min="12289" max="12289" width="14.42578125" style="13" bestFit="1" customWidth="1"/>
    <col min="12290" max="12290" width="13" style="13" bestFit="1" customWidth="1"/>
    <col min="12291" max="12291" width="11.42578125" style="13" customWidth="1"/>
    <col min="12292" max="12292" width="14.85546875" style="13" customWidth="1"/>
    <col min="12293" max="12293" width="13" style="13" bestFit="1" customWidth="1"/>
    <col min="12294" max="12294" width="13.140625" style="13" customWidth="1"/>
    <col min="12295" max="12296" width="12.140625" style="13" bestFit="1" customWidth="1"/>
    <col min="12297" max="12298" width="12.5703125" style="13" bestFit="1" customWidth="1"/>
    <col min="12299" max="12299" width="9.85546875" style="13" bestFit="1" customWidth="1"/>
    <col min="12300" max="12302" width="0" style="13" hidden="1" customWidth="1"/>
    <col min="12303" max="12304" width="14.28515625" style="13" bestFit="1" customWidth="1"/>
    <col min="12305" max="12305" width="14" style="13" customWidth="1"/>
    <col min="12306" max="12541" width="8.85546875" style="13"/>
    <col min="12542" max="12542" width="3.85546875" style="13" customWidth="1"/>
    <col min="12543" max="12543" width="8.28515625" style="13" customWidth="1"/>
    <col min="12544" max="12544" width="14.28515625" style="13" bestFit="1" customWidth="1"/>
    <col min="12545" max="12545" width="14.42578125" style="13" bestFit="1" customWidth="1"/>
    <col min="12546" max="12546" width="13" style="13" bestFit="1" customWidth="1"/>
    <col min="12547" max="12547" width="11.42578125" style="13" customWidth="1"/>
    <col min="12548" max="12548" width="14.85546875" style="13" customWidth="1"/>
    <col min="12549" max="12549" width="13" style="13" bestFit="1" customWidth="1"/>
    <col min="12550" max="12550" width="13.140625" style="13" customWidth="1"/>
    <col min="12551" max="12552" width="12.140625" style="13" bestFit="1" customWidth="1"/>
    <col min="12553" max="12554" width="12.5703125" style="13" bestFit="1" customWidth="1"/>
    <col min="12555" max="12555" width="9.85546875" style="13" bestFit="1" customWidth="1"/>
    <col min="12556" max="12558" width="0" style="13" hidden="1" customWidth="1"/>
    <col min="12559" max="12560" width="14.28515625" style="13" bestFit="1" customWidth="1"/>
    <col min="12561" max="12561" width="14" style="13" customWidth="1"/>
    <col min="12562" max="12797" width="8.85546875" style="13"/>
    <col min="12798" max="12798" width="3.85546875" style="13" customWidth="1"/>
    <col min="12799" max="12799" width="8.28515625" style="13" customWidth="1"/>
    <col min="12800" max="12800" width="14.28515625" style="13" bestFit="1" customWidth="1"/>
    <col min="12801" max="12801" width="14.42578125" style="13" bestFit="1" customWidth="1"/>
    <col min="12802" max="12802" width="13" style="13" bestFit="1" customWidth="1"/>
    <col min="12803" max="12803" width="11.42578125" style="13" customWidth="1"/>
    <col min="12804" max="12804" width="14.85546875" style="13" customWidth="1"/>
    <col min="12805" max="12805" width="13" style="13" bestFit="1" customWidth="1"/>
    <col min="12806" max="12806" width="13.140625" style="13" customWidth="1"/>
    <col min="12807" max="12808" width="12.140625" style="13" bestFit="1" customWidth="1"/>
    <col min="12809" max="12810" width="12.5703125" style="13" bestFit="1" customWidth="1"/>
    <col min="12811" max="12811" width="9.85546875" style="13" bestFit="1" customWidth="1"/>
    <col min="12812" max="12814" width="0" style="13" hidden="1" customWidth="1"/>
    <col min="12815" max="12816" width="14.28515625" style="13" bestFit="1" customWidth="1"/>
    <col min="12817" max="12817" width="14" style="13" customWidth="1"/>
    <col min="12818" max="13053" width="8.85546875" style="13"/>
    <col min="13054" max="13054" width="3.85546875" style="13" customWidth="1"/>
    <col min="13055" max="13055" width="8.28515625" style="13" customWidth="1"/>
    <col min="13056" max="13056" width="14.28515625" style="13" bestFit="1" customWidth="1"/>
    <col min="13057" max="13057" width="14.42578125" style="13" bestFit="1" customWidth="1"/>
    <col min="13058" max="13058" width="13" style="13" bestFit="1" customWidth="1"/>
    <col min="13059" max="13059" width="11.42578125" style="13" customWidth="1"/>
    <col min="13060" max="13060" width="14.85546875" style="13" customWidth="1"/>
    <col min="13061" max="13061" width="13" style="13" bestFit="1" customWidth="1"/>
    <col min="13062" max="13062" width="13.140625" style="13" customWidth="1"/>
    <col min="13063" max="13064" width="12.140625" style="13" bestFit="1" customWidth="1"/>
    <col min="13065" max="13066" width="12.5703125" style="13" bestFit="1" customWidth="1"/>
    <col min="13067" max="13067" width="9.85546875" style="13" bestFit="1" customWidth="1"/>
    <col min="13068" max="13070" width="0" style="13" hidden="1" customWidth="1"/>
    <col min="13071" max="13072" width="14.28515625" style="13" bestFit="1" customWidth="1"/>
    <col min="13073" max="13073" width="14" style="13" customWidth="1"/>
    <col min="13074" max="13309" width="8.85546875" style="13"/>
    <col min="13310" max="13310" width="3.85546875" style="13" customWidth="1"/>
    <col min="13311" max="13311" width="8.28515625" style="13" customWidth="1"/>
    <col min="13312" max="13312" width="14.28515625" style="13" bestFit="1" customWidth="1"/>
    <col min="13313" max="13313" width="14.42578125" style="13" bestFit="1" customWidth="1"/>
    <col min="13314" max="13314" width="13" style="13" bestFit="1" customWidth="1"/>
    <col min="13315" max="13315" width="11.42578125" style="13" customWidth="1"/>
    <col min="13316" max="13316" width="14.85546875" style="13" customWidth="1"/>
    <col min="13317" max="13317" width="13" style="13" bestFit="1" customWidth="1"/>
    <col min="13318" max="13318" width="13.140625" style="13" customWidth="1"/>
    <col min="13319" max="13320" width="12.140625" style="13" bestFit="1" customWidth="1"/>
    <col min="13321" max="13322" width="12.5703125" style="13" bestFit="1" customWidth="1"/>
    <col min="13323" max="13323" width="9.85546875" style="13" bestFit="1" customWidth="1"/>
    <col min="13324" max="13326" width="0" style="13" hidden="1" customWidth="1"/>
    <col min="13327" max="13328" width="14.28515625" style="13" bestFit="1" customWidth="1"/>
    <col min="13329" max="13329" width="14" style="13" customWidth="1"/>
    <col min="13330" max="13565" width="8.85546875" style="13"/>
    <col min="13566" max="13566" width="3.85546875" style="13" customWidth="1"/>
    <col min="13567" max="13567" width="8.28515625" style="13" customWidth="1"/>
    <col min="13568" max="13568" width="14.28515625" style="13" bestFit="1" customWidth="1"/>
    <col min="13569" max="13569" width="14.42578125" style="13" bestFit="1" customWidth="1"/>
    <col min="13570" max="13570" width="13" style="13" bestFit="1" customWidth="1"/>
    <col min="13571" max="13571" width="11.42578125" style="13" customWidth="1"/>
    <col min="13572" max="13572" width="14.85546875" style="13" customWidth="1"/>
    <col min="13573" max="13573" width="13" style="13" bestFit="1" customWidth="1"/>
    <col min="13574" max="13574" width="13.140625" style="13" customWidth="1"/>
    <col min="13575" max="13576" width="12.140625" style="13" bestFit="1" customWidth="1"/>
    <col min="13577" max="13578" width="12.5703125" style="13" bestFit="1" customWidth="1"/>
    <col min="13579" max="13579" width="9.85546875" style="13" bestFit="1" customWidth="1"/>
    <col min="13580" max="13582" width="0" style="13" hidden="1" customWidth="1"/>
    <col min="13583" max="13584" width="14.28515625" style="13" bestFit="1" customWidth="1"/>
    <col min="13585" max="13585" width="14" style="13" customWidth="1"/>
    <col min="13586" max="13821" width="8.85546875" style="13"/>
    <col min="13822" max="13822" width="3.85546875" style="13" customWidth="1"/>
    <col min="13823" max="13823" width="8.28515625" style="13" customWidth="1"/>
    <col min="13824" max="13824" width="14.28515625" style="13" bestFit="1" customWidth="1"/>
    <col min="13825" max="13825" width="14.42578125" style="13" bestFit="1" customWidth="1"/>
    <col min="13826" max="13826" width="13" style="13" bestFit="1" customWidth="1"/>
    <col min="13827" max="13827" width="11.42578125" style="13" customWidth="1"/>
    <col min="13828" max="13828" width="14.85546875" style="13" customWidth="1"/>
    <col min="13829" max="13829" width="13" style="13" bestFit="1" customWidth="1"/>
    <col min="13830" max="13830" width="13.140625" style="13" customWidth="1"/>
    <col min="13831" max="13832" width="12.140625" style="13" bestFit="1" customWidth="1"/>
    <col min="13833" max="13834" width="12.5703125" style="13" bestFit="1" customWidth="1"/>
    <col min="13835" max="13835" width="9.85546875" style="13" bestFit="1" customWidth="1"/>
    <col min="13836" max="13838" width="0" style="13" hidden="1" customWidth="1"/>
    <col min="13839" max="13840" width="14.28515625" style="13" bestFit="1" customWidth="1"/>
    <col min="13841" max="13841" width="14" style="13" customWidth="1"/>
    <col min="13842" max="14077" width="8.85546875" style="13"/>
    <col min="14078" max="14078" width="3.85546875" style="13" customWidth="1"/>
    <col min="14079" max="14079" width="8.28515625" style="13" customWidth="1"/>
    <col min="14080" max="14080" width="14.28515625" style="13" bestFit="1" customWidth="1"/>
    <col min="14081" max="14081" width="14.42578125" style="13" bestFit="1" customWidth="1"/>
    <col min="14082" max="14082" width="13" style="13" bestFit="1" customWidth="1"/>
    <col min="14083" max="14083" width="11.42578125" style="13" customWidth="1"/>
    <col min="14084" max="14084" width="14.85546875" style="13" customWidth="1"/>
    <col min="14085" max="14085" width="13" style="13" bestFit="1" customWidth="1"/>
    <col min="14086" max="14086" width="13.140625" style="13" customWidth="1"/>
    <col min="14087" max="14088" width="12.140625" style="13" bestFit="1" customWidth="1"/>
    <col min="14089" max="14090" width="12.5703125" style="13" bestFit="1" customWidth="1"/>
    <col min="14091" max="14091" width="9.85546875" style="13" bestFit="1" customWidth="1"/>
    <col min="14092" max="14094" width="0" style="13" hidden="1" customWidth="1"/>
    <col min="14095" max="14096" width="14.28515625" style="13" bestFit="1" customWidth="1"/>
    <col min="14097" max="14097" width="14" style="13" customWidth="1"/>
    <col min="14098" max="14333" width="8.85546875" style="13"/>
    <col min="14334" max="14334" width="3.85546875" style="13" customWidth="1"/>
    <col min="14335" max="14335" width="8.28515625" style="13" customWidth="1"/>
    <col min="14336" max="14336" width="14.28515625" style="13" bestFit="1" customWidth="1"/>
    <col min="14337" max="14337" width="14.42578125" style="13" bestFit="1" customWidth="1"/>
    <col min="14338" max="14338" width="13" style="13" bestFit="1" customWidth="1"/>
    <col min="14339" max="14339" width="11.42578125" style="13" customWidth="1"/>
    <col min="14340" max="14340" width="14.85546875" style="13" customWidth="1"/>
    <col min="14341" max="14341" width="13" style="13" bestFit="1" customWidth="1"/>
    <col min="14342" max="14342" width="13.140625" style="13" customWidth="1"/>
    <col min="14343" max="14344" width="12.140625" style="13" bestFit="1" customWidth="1"/>
    <col min="14345" max="14346" width="12.5703125" style="13" bestFit="1" customWidth="1"/>
    <col min="14347" max="14347" width="9.85546875" style="13" bestFit="1" customWidth="1"/>
    <col min="14348" max="14350" width="0" style="13" hidden="1" customWidth="1"/>
    <col min="14351" max="14352" width="14.28515625" style="13" bestFit="1" customWidth="1"/>
    <col min="14353" max="14353" width="14" style="13" customWidth="1"/>
    <col min="14354" max="14589" width="8.85546875" style="13"/>
    <col min="14590" max="14590" width="3.85546875" style="13" customWidth="1"/>
    <col min="14591" max="14591" width="8.28515625" style="13" customWidth="1"/>
    <col min="14592" max="14592" width="14.28515625" style="13" bestFit="1" customWidth="1"/>
    <col min="14593" max="14593" width="14.42578125" style="13" bestFit="1" customWidth="1"/>
    <col min="14594" max="14594" width="13" style="13" bestFit="1" customWidth="1"/>
    <col min="14595" max="14595" width="11.42578125" style="13" customWidth="1"/>
    <col min="14596" max="14596" width="14.85546875" style="13" customWidth="1"/>
    <col min="14597" max="14597" width="13" style="13" bestFit="1" customWidth="1"/>
    <col min="14598" max="14598" width="13.140625" style="13" customWidth="1"/>
    <col min="14599" max="14600" width="12.140625" style="13" bestFit="1" customWidth="1"/>
    <col min="14601" max="14602" width="12.5703125" style="13" bestFit="1" customWidth="1"/>
    <col min="14603" max="14603" width="9.85546875" style="13" bestFit="1" customWidth="1"/>
    <col min="14604" max="14606" width="0" style="13" hidden="1" customWidth="1"/>
    <col min="14607" max="14608" width="14.28515625" style="13" bestFit="1" customWidth="1"/>
    <col min="14609" max="14609" width="14" style="13" customWidth="1"/>
    <col min="14610" max="14845" width="8.85546875" style="13"/>
    <col min="14846" max="14846" width="3.85546875" style="13" customWidth="1"/>
    <col min="14847" max="14847" width="8.28515625" style="13" customWidth="1"/>
    <col min="14848" max="14848" width="14.28515625" style="13" bestFit="1" customWidth="1"/>
    <col min="14849" max="14849" width="14.42578125" style="13" bestFit="1" customWidth="1"/>
    <col min="14850" max="14850" width="13" style="13" bestFit="1" customWidth="1"/>
    <col min="14851" max="14851" width="11.42578125" style="13" customWidth="1"/>
    <col min="14852" max="14852" width="14.85546875" style="13" customWidth="1"/>
    <col min="14853" max="14853" width="13" style="13" bestFit="1" customWidth="1"/>
    <col min="14854" max="14854" width="13.140625" style="13" customWidth="1"/>
    <col min="14855" max="14856" width="12.140625" style="13" bestFit="1" customWidth="1"/>
    <col min="14857" max="14858" width="12.5703125" style="13" bestFit="1" customWidth="1"/>
    <col min="14859" max="14859" width="9.85546875" style="13" bestFit="1" customWidth="1"/>
    <col min="14860" max="14862" width="0" style="13" hidden="1" customWidth="1"/>
    <col min="14863" max="14864" width="14.28515625" style="13" bestFit="1" customWidth="1"/>
    <col min="14865" max="14865" width="14" style="13" customWidth="1"/>
    <col min="14866" max="15101" width="8.85546875" style="13"/>
    <col min="15102" max="15102" width="3.85546875" style="13" customWidth="1"/>
    <col min="15103" max="15103" width="8.28515625" style="13" customWidth="1"/>
    <col min="15104" max="15104" width="14.28515625" style="13" bestFit="1" customWidth="1"/>
    <col min="15105" max="15105" width="14.42578125" style="13" bestFit="1" customWidth="1"/>
    <col min="15106" max="15106" width="13" style="13" bestFit="1" customWidth="1"/>
    <col min="15107" max="15107" width="11.42578125" style="13" customWidth="1"/>
    <col min="15108" max="15108" width="14.85546875" style="13" customWidth="1"/>
    <col min="15109" max="15109" width="13" style="13" bestFit="1" customWidth="1"/>
    <col min="15110" max="15110" width="13.140625" style="13" customWidth="1"/>
    <col min="15111" max="15112" width="12.140625" style="13" bestFit="1" customWidth="1"/>
    <col min="15113" max="15114" width="12.5703125" style="13" bestFit="1" customWidth="1"/>
    <col min="15115" max="15115" width="9.85546875" style="13" bestFit="1" customWidth="1"/>
    <col min="15116" max="15118" width="0" style="13" hidden="1" customWidth="1"/>
    <col min="15119" max="15120" width="14.28515625" style="13" bestFit="1" customWidth="1"/>
    <col min="15121" max="15121" width="14" style="13" customWidth="1"/>
    <col min="15122" max="15357" width="8.85546875" style="13"/>
    <col min="15358" max="15358" width="3.85546875" style="13" customWidth="1"/>
    <col min="15359" max="15359" width="8.28515625" style="13" customWidth="1"/>
    <col min="15360" max="15360" width="14.28515625" style="13" bestFit="1" customWidth="1"/>
    <col min="15361" max="15361" width="14.42578125" style="13" bestFit="1" customWidth="1"/>
    <col min="15362" max="15362" width="13" style="13" bestFit="1" customWidth="1"/>
    <col min="15363" max="15363" width="11.42578125" style="13" customWidth="1"/>
    <col min="15364" max="15364" width="14.85546875" style="13" customWidth="1"/>
    <col min="15365" max="15365" width="13" style="13" bestFit="1" customWidth="1"/>
    <col min="15366" max="15366" width="13.140625" style="13" customWidth="1"/>
    <col min="15367" max="15368" width="12.140625" style="13" bestFit="1" customWidth="1"/>
    <col min="15369" max="15370" width="12.5703125" style="13" bestFit="1" customWidth="1"/>
    <col min="15371" max="15371" width="9.85546875" style="13" bestFit="1" customWidth="1"/>
    <col min="15372" max="15374" width="0" style="13" hidden="1" customWidth="1"/>
    <col min="15375" max="15376" width="14.28515625" style="13" bestFit="1" customWidth="1"/>
    <col min="15377" max="15377" width="14" style="13" customWidth="1"/>
    <col min="15378" max="15613" width="8.85546875" style="13"/>
    <col min="15614" max="15614" width="3.85546875" style="13" customWidth="1"/>
    <col min="15615" max="15615" width="8.28515625" style="13" customWidth="1"/>
    <col min="15616" max="15616" width="14.28515625" style="13" bestFit="1" customWidth="1"/>
    <col min="15617" max="15617" width="14.42578125" style="13" bestFit="1" customWidth="1"/>
    <col min="15618" max="15618" width="13" style="13" bestFit="1" customWidth="1"/>
    <col min="15619" max="15619" width="11.42578125" style="13" customWidth="1"/>
    <col min="15620" max="15620" width="14.85546875" style="13" customWidth="1"/>
    <col min="15621" max="15621" width="13" style="13" bestFit="1" customWidth="1"/>
    <col min="15622" max="15622" width="13.140625" style="13" customWidth="1"/>
    <col min="15623" max="15624" width="12.140625" style="13" bestFit="1" customWidth="1"/>
    <col min="15625" max="15626" width="12.5703125" style="13" bestFit="1" customWidth="1"/>
    <col min="15627" max="15627" width="9.85546875" style="13" bestFit="1" customWidth="1"/>
    <col min="15628" max="15630" width="0" style="13" hidden="1" customWidth="1"/>
    <col min="15631" max="15632" width="14.28515625" style="13" bestFit="1" customWidth="1"/>
    <col min="15633" max="15633" width="14" style="13" customWidth="1"/>
    <col min="15634" max="15869" width="8.85546875" style="13"/>
    <col min="15870" max="15870" width="3.85546875" style="13" customWidth="1"/>
    <col min="15871" max="15871" width="8.28515625" style="13" customWidth="1"/>
    <col min="15872" max="15872" width="14.28515625" style="13" bestFit="1" customWidth="1"/>
    <col min="15873" max="15873" width="14.42578125" style="13" bestFit="1" customWidth="1"/>
    <col min="15874" max="15874" width="13" style="13" bestFit="1" customWidth="1"/>
    <col min="15875" max="15875" width="11.42578125" style="13" customWidth="1"/>
    <col min="15876" max="15876" width="14.85546875" style="13" customWidth="1"/>
    <col min="15877" max="15877" width="13" style="13" bestFit="1" customWidth="1"/>
    <col min="15878" max="15878" width="13.140625" style="13" customWidth="1"/>
    <col min="15879" max="15880" width="12.140625" style="13" bestFit="1" customWidth="1"/>
    <col min="15881" max="15882" width="12.5703125" style="13" bestFit="1" customWidth="1"/>
    <col min="15883" max="15883" width="9.85546875" style="13" bestFit="1" customWidth="1"/>
    <col min="15884" max="15886" width="0" style="13" hidden="1" customWidth="1"/>
    <col min="15887" max="15888" width="14.28515625" style="13" bestFit="1" customWidth="1"/>
    <col min="15889" max="15889" width="14" style="13" customWidth="1"/>
    <col min="15890" max="16125" width="8.85546875" style="13"/>
    <col min="16126" max="16126" width="3.85546875" style="13" customWidth="1"/>
    <col min="16127" max="16127" width="8.28515625" style="13" customWidth="1"/>
    <col min="16128" max="16128" width="14.28515625" style="13" bestFit="1" customWidth="1"/>
    <col min="16129" max="16129" width="14.42578125" style="13" bestFit="1" customWidth="1"/>
    <col min="16130" max="16130" width="13" style="13" bestFit="1" customWidth="1"/>
    <col min="16131" max="16131" width="11.42578125" style="13" customWidth="1"/>
    <col min="16132" max="16132" width="14.85546875" style="13" customWidth="1"/>
    <col min="16133" max="16133" width="13" style="13" bestFit="1" customWidth="1"/>
    <col min="16134" max="16134" width="13.140625" style="13" customWidth="1"/>
    <col min="16135" max="16136" width="12.140625" style="13" bestFit="1" customWidth="1"/>
    <col min="16137" max="16138" width="12.5703125" style="13" bestFit="1" customWidth="1"/>
    <col min="16139" max="16139" width="9.85546875" style="13" bestFit="1" customWidth="1"/>
    <col min="16140" max="16142" width="0" style="13" hidden="1" customWidth="1"/>
    <col min="16143" max="16144" width="14.28515625" style="13" bestFit="1" customWidth="1"/>
    <col min="16145" max="16145" width="14" style="13" customWidth="1"/>
    <col min="16146" max="16384" width="8.85546875" style="13"/>
  </cols>
  <sheetData>
    <row r="1" spans="1:21">
      <c r="B1" s="13" t="s">
        <v>232</v>
      </c>
      <c r="H1" s="13" t="s">
        <v>107</v>
      </c>
      <c r="L1" s="13" t="s">
        <v>103</v>
      </c>
    </row>
    <row r="2" spans="1:21" s="14" customFormat="1" ht="36">
      <c r="A2" s="24" t="s">
        <v>4</v>
      </c>
      <c r="B2" s="24" t="s">
        <v>100</v>
      </c>
      <c r="C2" s="24" t="s">
        <v>108</v>
      </c>
      <c r="D2" s="24" t="s">
        <v>109</v>
      </c>
      <c r="E2" s="25" t="s">
        <v>110</v>
      </c>
      <c r="F2" s="25" t="s">
        <v>111</v>
      </c>
      <c r="G2" s="24" t="s">
        <v>112</v>
      </c>
      <c r="H2" s="24" t="s">
        <v>113</v>
      </c>
      <c r="I2" s="24" t="s">
        <v>114</v>
      </c>
      <c r="J2" s="24" t="s">
        <v>115</v>
      </c>
      <c r="K2" s="11" t="s">
        <v>116</v>
      </c>
      <c r="L2" s="86" t="s">
        <v>117</v>
      </c>
      <c r="M2" s="24" t="s">
        <v>118</v>
      </c>
      <c r="N2" s="26" t="s">
        <v>119</v>
      </c>
      <c r="R2" s="14" t="s">
        <v>704</v>
      </c>
      <c r="S2" s="14" t="s">
        <v>705</v>
      </c>
    </row>
    <row r="3" spans="1:21" s="14" customFormat="1" ht="12" customHeight="1">
      <c r="A3" s="27"/>
      <c r="B3" s="28"/>
      <c r="C3" s="28"/>
      <c r="D3" s="28"/>
      <c r="E3" s="29"/>
      <c r="F3" s="29"/>
      <c r="G3" s="28" t="s">
        <v>5</v>
      </c>
      <c r="H3" s="28"/>
      <c r="I3" s="28"/>
      <c r="J3" s="28"/>
      <c r="K3" s="28"/>
      <c r="L3" s="87"/>
      <c r="M3" s="30">
        <v>-2611487.12</v>
      </c>
      <c r="N3" s="26"/>
      <c r="S3" s="14">
        <v>2611487.12</v>
      </c>
    </row>
    <row r="4" spans="1:21">
      <c r="A4" s="12">
        <v>1</v>
      </c>
      <c r="B4" s="12">
        <v>2025.01</v>
      </c>
      <c r="C4" s="31">
        <f>SUM(D4:E4)</f>
        <v>56870000</v>
      </c>
      <c r="D4" s="31">
        <v>51700000</v>
      </c>
      <c r="E4" s="32">
        <f>D4*0.1</f>
        <v>5170000</v>
      </c>
      <c r="F4" s="32"/>
      <c r="G4" s="31">
        <v>9321866.8800000008</v>
      </c>
      <c r="H4" s="31">
        <v>221130000</v>
      </c>
      <c r="I4" s="31">
        <f>SUM(F4:H4)</f>
        <v>230451866.88</v>
      </c>
      <c r="J4" s="31"/>
      <c r="K4" s="33">
        <f>(I4*0.1)-J4</f>
        <v>23045186.688000001</v>
      </c>
      <c r="L4" s="84">
        <f>E4-K4</f>
        <v>-17875186.688000001</v>
      </c>
      <c r="M4" s="34">
        <f>M3+L4</f>
        <v>-20486673.808000002</v>
      </c>
      <c r="N4" s="35"/>
      <c r="O4" s="36">
        <f>+K4-'[8]jurnal 06.30'!F8</f>
        <v>14550393.661</v>
      </c>
      <c r="P4" s="36">
        <f>+E4-'[8]jurnal 06.30'!T5</f>
        <v>-4079999.9999999981</v>
      </c>
      <c r="Q4" s="36">
        <f>+H4/D4</f>
        <v>4.2771760154738878</v>
      </c>
      <c r="S4" s="36">
        <v>17875186.690000001</v>
      </c>
      <c r="T4" s="632">
        <f>+H4*0.1</f>
        <v>22113000</v>
      </c>
      <c r="U4" s="13">
        <v>2025.01</v>
      </c>
    </row>
    <row r="5" spans="1:21">
      <c r="A5" s="12">
        <v>2</v>
      </c>
      <c r="B5" s="12">
        <v>2025.02</v>
      </c>
      <c r="C5" s="31">
        <f t="shared" ref="C5:C15" si="0">SUM(D5:E5)</f>
        <v>0</v>
      </c>
      <c r="D5" s="31"/>
      <c r="E5" s="32">
        <f t="shared" ref="E5:E15" si="1">D5*0.1</f>
        <v>0</v>
      </c>
      <c r="F5" s="32"/>
      <c r="G5" s="31">
        <v>510000</v>
      </c>
      <c r="H5" s="31"/>
      <c r="I5" s="31">
        <f t="shared" ref="I5:I14" si="2">SUM(F5:H5)</f>
        <v>510000</v>
      </c>
      <c r="J5" s="31"/>
      <c r="K5" s="33">
        <f t="shared" ref="K5:K9" si="3">(I5*0.1)-J5</f>
        <v>51000</v>
      </c>
      <c r="L5" s="84">
        <f t="shared" ref="L5:L15" si="4">E5-K5</f>
        <v>-51000</v>
      </c>
      <c r="M5" s="34">
        <f t="shared" ref="M5:M14" si="5">M4+L5</f>
        <v>-20537673.808000002</v>
      </c>
      <c r="N5" s="35"/>
      <c r="O5" s="36">
        <f>+K5-'[8]jurnal 06.30'!F9</f>
        <v>-7557798.5020000003</v>
      </c>
      <c r="P5" s="36">
        <f>+E5-'[8]jurnal 06.30'!T6</f>
        <v>-7090909.0909090908</v>
      </c>
      <c r="Q5" s="36" t="e">
        <f>+H5/D5</f>
        <v>#DIV/0!</v>
      </c>
      <c r="R5" s="36"/>
      <c r="S5" s="36">
        <v>51000</v>
      </c>
      <c r="T5" s="632">
        <f t="shared" ref="T5:T14" si="6">+H5*0.1</f>
        <v>0</v>
      </c>
      <c r="U5" s="13">
        <v>2025.02</v>
      </c>
    </row>
    <row r="6" spans="1:21">
      <c r="A6" s="12">
        <v>3</v>
      </c>
      <c r="B6" s="12">
        <v>2025.03</v>
      </c>
      <c r="C6" s="31">
        <f t="shared" si="0"/>
        <v>11020000.002</v>
      </c>
      <c r="D6" s="31">
        <v>10018181.82</v>
      </c>
      <c r="E6" s="32">
        <f t="shared" si="1"/>
        <v>1001818.182</v>
      </c>
      <c r="F6" s="32"/>
      <c r="G6" s="31">
        <v>3848727.28</v>
      </c>
      <c r="H6" s="31">
        <v>190722000</v>
      </c>
      <c r="I6" s="31">
        <f t="shared" si="2"/>
        <v>194570727.28</v>
      </c>
      <c r="J6" s="31">
        <v>48490.9</v>
      </c>
      <c r="K6" s="33">
        <f t="shared" si="3"/>
        <v>19408581.828000002</v>
      </c>
      <c r="L6" s="84">
        <f t="shared" si="4"/>
        <v>-18406763.646000002</v>
      </c>
      <c r="M6" s="34">
        <f t="shared" si="5"/>
        <v>-38944437.454000004</v>
      </c>
      <c r="N6" s="35"/>
      <c r="O6" s="36">
        <f>+K6-'[8]jurnal 06.30'!F10</f>
        <v>11361743.644855</v>
      </c>
      <c r="P6" s="36">
        <f>+E6-'[8]jurnal 06.30'!T7</f>
        <v>-7816363.6361818183</v>
      </c>
      <c r="Q6" s="36">
        <f>+H6/D6</f>
        <v>19.037586203441453</v>
      </c>
      <c r="R6" s="36"/>
      <c r="S6" s="36">
        <v>18406763.649999999</v>
      </c>
      <c r="T6" s="632">
        <f t="shared" si="6"/>
        <v>19072200</v>
      </c>
      <c r="U6" s="13">
        <v>2025.03</v>
      </c>
    </row>
    <row r="7" spans="1:21">
      <c r="A7" s="12">
        <v>4</v>
      </c>
      <c r="B7" s="12">
        <v>2025.04</v>
      </c>
      <c r="C7" s="31">
        <f t="shared" si="0"/>
        <v>34131500.006999999</v>
      </c>
      <c r="D7" s="31">
        <v>31028636.370000001</v>
      </c>
      <c r="E7" s="32">
        <f t="shared" si="1"/>
        <v>3102863.6370000001</v>
      </c>
      <c r="F7" s="32"/>
      <c r="G7" s="31">
        <v>563483.64</v>
      </c>
      <c r="H7" s="31">
        <v>31655888.98</v>
      </c>
      <c r="I7" s="31">
        <f t="shared" si="2"/>
        <v>32219372.620000001</v>
      </c>
      <c r="J7" s="31"/>
      <c r="K7" s="33">
        <f t="shared" si="3"/>
        <v>3221937.2620000001</v>
      </c>
      <c r="L7" s="84">
        <f t="shared" si="4"/>
        <v>-119073.625</v>
      </c>
      <c r="M7" s="34">
        <f t="shared" si="5"/>
        <v>-39063511.079000004</v>
      </c>
      <c r="N7" s="35"/>
      <c r="O7" s="36">
        <f>+K7-'[8]jurnal 06.30'!F11</f>
        <v>-3779136.054659999</v>
      </c>
      <c r="P7" s="36">
        <f>+E7-'[8]jurnal 06.30'!T8</f>
        <v>-3806227.2720909081</v>
      </c>
      <c r="Q7" s="36">
        <f t="shared" ref="Q7:Q12" si="7">+H7/D7</f>
        <v>1.0202152812170133</v>
      </c>
      <c r="R7" s="36"/>
      <c r="S7" s="36">
        <v>119073.62</v>
      </c>
      <c r="T7" s="632">
        <f t="shared" si="6"/>
        <v>3165588.898</v>
      </c>
      <c r="U7" s="13">
        <v>2025.04</v>
      </c>
    </row>
    <row r="8" spans="1:21">
      <c r="A8" s="12">
        <v>5</v>
      </c>
      <c r="B8" s="12">
        <v>2025.05</v>
      </c>
      <c r="C8" s="31">
        <f t="shared" si="0"/>
        <v>1970000.0100000002</v>
      </c>
      <c r="D8" s="31">
        <v>1790909.1</v>
      </c>
      <c r="E8" s="32">
        <f t="shared" si="1"/>
        <v>179090.91000000003</v>
      </c>
      <c r="F8" s="32"/>
      <c r="G8" s="31">
        <v>201000</v>
      </c>
      <c r="H8" s="31"/>
      <c r="I8" s="31">
        <f t="shared" si="2"/>
        <v>201000</v>
      </c>
      <c r="J8" s="31"/>
      <c r="K8" s="33">
        <f t="shared" si="3"/>
        <v>20100</v>
      </c>
      <c r="L8" s="84">
        <f t="shared" si="4"/>
        <v>158990.91000000003</v>
      </c>
      <c r="M8" s="34">
        <f t="shared" si="5"/>
        <v>-38904520.169000007</v>
      </c>
      <c r="N8" s="35"/>
      <c r="O8" s="36">
        <f>+K8-'[8]jurnal 06.30'!F12</f>
        <v>-10006108.653828202</v>
      </c>
      <c r="P8" s="36">
        <f>+E8-'[8]jurnal 06.30'!T9</f>
        <v>179090.91000000003</v>
      </c>
      <c r="Q8" s="36"/>
      <c r="R8" s="36">
        <v>158990.91</v>
      </c>
      <c r="S8" s="36"/>
      <c r="T8" s="632">
        <f t="shared" si="6"/>
        <v>0</v>
      </c>
      <c r="U8" s="13">
        <v>2025.05</v>
      </c>
    </row>
    <row r="9" spans="1:21">
      <c r="A9" s="12">
        <v>6</v>
      </c>
      <c r="B9" s="12">
        <v>2025.06</v>
      </c>
      <c r="C9" s="31">
        <f t="shared" si="0"/>
        <v>31926000.006999999</v>
      </c>
      <c r="D9" s="31">
        <v>29023636.370000001</v>
      </c>
      <c r="E9" s="32">
        <f>D9*0.1</f>
        <v>2902363.6370000001</v>
      </c>
      <c r="F9" s="32"/>
      <c r="G9" s="31"/>
      <c r="H9" s="31"/>
      <c r="I9" s="31">
        <f>SUM(F9:H9)</f>
        <v>0</v>
      </c>
      <c r="J9" s="31"/>
      <c r="K9" s="33">
        <f t="shared" si="3"/>
        <v>0</v>
      </c>
      <c r="L9" s="84">
        <f t="shared" si="4"/>
        <v>2902363.6370000001</v>
      </c>
      <c r="M9" s="34">
        <f t="shared" si="5"/>
        <v>-36002156.532000005</v>
      </c>
      <c r="N9" s="35"/>
      <c r="O9" s="36">
        <f>+K9-'[8]jurnal 06.30'!F13</f>
        <v>-7093655.1643600008</v>
      </c>
      <c r="P9" s="36">
        <f>+E9-'[8]jurnal 06.30'!T10</f>
        <v>-15235090.908454543</v>
      </c>
      <c r="Q9" s="36">
        <f t="shared" si="7"/>
        <v>0</v>
      </c>
      <c r="R9" s="36">
        <v>2902363.64</v>
      </c>
      <c r="S9" s="36"/>
      <c r="T9" s="632">
        <f t="shared" si="6"/>
        <v>0</v>
      </c>
      <c r="U9" s="13">
        <v>2025.06</v>
      </c>
    </row>
    <row r="10" spans="1:21">
      <c r="A10" s="12">
        <v>7</v>
      </c>
      <c r="B10" s="12">
        <v>2025.07</v>
      </c>
      <c r="C10" s="31">
        <f t="shared" si="0"/>
        <v>0</v>
      </c>
      <c r="D10" s="31"/>
      <c r="E10" s="32">
        <f t="shared" si="1"/>
        <v>0</v>
      </c>
      <c r="F10" s="32"/>
      <c r="G10" s="31">
        <v>1709090.91</v>
      </c>
      <c r="H10" s="31"/>
      <c r="I10" s="31">
        <f>SUM(F10:H10)</f>
        <v>1709090.91</v>
      </c>
      <c r="J10" s="31"/>
      <c r="K10" s="33">
        <f>(I10*0.1)-J10</f>
        <v>170909.09100000001</v>
      </c>
      <c r="L10" s="84">
        <f t="shared" si="4"/>
        <v>-170909.09100000001</v>
      </c>
      <c r="M10" s="34">
        <f t="shared" si="5"/>
        <v>-36173065.623000003</v>
      </c>
      <c r="N10" s="35"/>
      <c r="O10" s="36"/>
      <c r="P10" s="36">
        <f>+E10-'[8]jurnal 06.30'!T11</f>
        <v>-22768181.818181816</v>
      </c>
      <c r="Q10" s="36" t="e">
        <f t="shared" si="7"/>
        <v>#DIV/0!</v>
      </c>
      <c r="R10" s="36"/>
      <c r="S10" s="36">
        <v>170909.09</v>
      </c>
      <c r="T10" s="632">
        <f t="shared" si="6"/>
        <v>0</v>
      </c>
      <c r="U10" s="13">
        <v>2025.07</v>
      </c>
    </row>
    <row r="11" spans="1:21">
      <c r="A11" s="12">
        <v>8</v>
      </c>
      <c r="B11" s="12">
        <v>2025.08</v>
      </c>
      <c r="C11" s="31">
        <f t="shared" si="0"/>
        <v>2864999.9950000001</v>
      </c>
      <c r="D11" s="31">
        <v>2604545.4500000002</v>
      </c>
      <c r="E11" s="32">
        <f t="shared" si="1"/>
        <v>260454.54500000004</v>
      </c>
      <c r="F11" s="32"/>
      <c r="G11" s="31">
        <v>320331.82</v>
      </c>
      <c r="H11" s="31">
        <v>21573187.379999999</v>
      </c>
      <c r="I11" s="31">
        <f t="shared" si="2"/>
        <v>21893519.199999999</v>
      </c>
      <c r="J11" s="31"/>
      <c r="K11" s="33">
        <f t="shared" ref="K11:K15" si="8">(I11*0.1)-J11</f>
        <v>2189351.92</v>
      </c>
      <c r="L11" s="84">
        <f t="shared" si="4"/>
        <v>-1928897.375</v>
      </c>
      <c r="M11" s="34">
        <f t="shared" si="5"/>
        <v>-38101962.998000003</v>
      </c>
      <c r="N11" s="35"/>
      <c r="O11" s="36" t="e">
        <f>+K11-'[8]jurnal 06.30'!F15</f>
        <v>#REF!</v>
      </c>
      <c r="P11" s="36" t="e">
        <f>+E11-'[8]jurnal 06.30'!T12</f>
        <v>#REF!</v>
      </c>
      <c r="Q11" s="36">
        <f t="shared" si="7"/>
        <v>8.2828991830417085</v>
      </c>
      <c r="R11" s="36"/>
      <c r="S11" s="36">
        <v>1928897.37</v>
      </c>
      <c r="T11" s="632">
        <f t="shared" si="6"/>
        <v>2157318.7379999999</v>
      </c>
      <c r="U11" s="13">
        <v>2025.08</v>
      </c>
    </row>
    <row r="12" spans="1:21">
      <c r="A12" s="12">
        <v>9</v>
      </c>
      <c r="B12" s="12">
        <v>2025.09</v>
      </c>
      <c r="C12" s="31">
        <f t="shared" si="0"/>
        <v>84417500.001999989</v>
      </c>
      <c r="D12" s="31">
        <v>76743181.819999993</v>
      </c>
      <c r="E12" s="32">
        <f t="shared" si="1"/>
        <v>7674318.182</v>
      </c>
      <c r="F12" s="32"/>
      <c r="G12" s="31">
        <v>5116318.18</v>
      </c>
      <c r="H12" s="31"/>
      <c r="I12" s="31">
        <f t="shared" si="2"/>
        <v>5116318.18</v>
      </c>
      <c r="J12" s="31"/>
      <c r="K12" s="33">
        <f t="shared" si="8"/>
        <v>511631.81799999997</v>
      </c>
      <c r="L12" s="84">
        <f t="shared" si="4"/>
        <v>7162686.3640000001</v>
      </c>
      <c r="M12" s="34">
        <f t="shared" si="5"/>
        <v>-30939276.634000003</v>
      </c>
      <c r="N12" s="35"/>
      <c r="O12" s="36" t="e">
        <f>+K12-'[8]jurnal 06.30'!F16</f>
        <v>#REF!</v>
      </c>
      <c r="P12" s="36" t="e">
        <f>+E12-'[8]jurnal 06.30'!T13</f>
        <v>#REF!</v>
      </c>
      <c r="Q12" s="36">
        <f t="shared" si="7"/>
        <v>0</v>
      </c>
      <c r="R12" s="36">
        <v>7162686.3600000003</v>
      </c>
      <c r="S12" s="36"/>
      <c r="T12" s="632">
        <f t="shared" si="6"/>
        <v>0</v>
      </c>
      <c r="U12" s="13">
        <v>2025.09</v>
      </c>
    </row>
    <row r="13" spans="1:21">
      <c r="A13" s="12">
        <v>10</v>
      </c>
      <c r="B13" s="37">
        <v>2025.1</v>
      </c>
      <c r="C13" s="31">
        <f t="shared" si="0"/>
        <v>16300000.002</v>
      </c>
      <c r="D13" s="31">
        <v>14818181.82</v>
      </c>
      <c r="E13" s="32">
        <f t="shared" si="1"/>
        <v>1481818.182</v>
      </c>
      <c r="F13" s="32"/>
      <c r="G13" s="31">
        <v>4020272.73</v>
      </c>
      <c r="I13" s="31">
        <f t="shared" si="2"/>
        <v>4020272.73</v>
      </c>
      <c r="J13" s="31"/>
      <c r="K13" s="33">
        <f t="shared" si="8"/>
        <v>402027.27300000004</v>
      </c>
      <c r="L13" s="84">
        <f t="shared" si="4"/>
        <v>1079790.909</v>
      </c>
      <c r="M13" s="34">
        <f t="shared" si="5"/>
        <v>-29859485.725000001</v>
      </c>
      <c r="N13" s="35"/>
      <c r="O13" s="36">
        <f>+G13*1.5</f>
        <v>6030409.0949999997</v>
      </c>
      <c r="P13" s="36" t="e">
        <f>+E13-'[8]jurnal 06.30'!T14</f>
        <v>#REF!</v>
      </c>
      <c r="Q13" s="36">
        <f>+G13/D13</f>
        <v>0.27130674861701759</v>
      </c>
      <c r="R13" s="36">
        <v>1079790.9099999999</v>
      </c>
      <c r="S13" s="36"/>
      <c r="T13" s="632">
        <f t="shared" si="6"/>
        <v>0</v>
      </c>
      <c r="U13" s="13">
        <v>2025.1</v>
      </c>
    </row>
    <row r="14" spans="1:21">
      <c r="A14" s="12">
        <v>11</v>
      </c>
      <c r="B14" s="12">
        <v>2025.11</v>
      </c>
      <c r="C14" s="31">
        <f t="shared" si="0"/>
        <v>11832000.004000001</v>
      </c>
      <c r="D14" s="31">
        <v>10756363.640000001</v>
      </c>
      <c r="E14" s="32">
        <f t="shared" si="1"/>
        <v>1075636.3640000001</v>
      </c>
      <c r="F14" s="32"/>
      <c r="G14" s="31">
        <v>2839400</v>
      </c>
      <c r="H14" s="31">
        <v>3992553.6</v>
      </c>
      <c r="I14" s="31">
        <f t="shared" si="2"/>
        <v>6831953.5999999996</v>
      </c>
      <c r="J14" s="31"/>
      <c r="K14" s="33">
        <f t="shared" si="8"/>
        <v>683195.36</v>
      </c>
      <c r="L14" s="84">
        <f t="shared" si="4"/>
        <v>392441.00400000007</v>
      </c>
      <c r="M14" s="34">
        <f t="shared" si="5"/>
        <v>-29467044.721000001</v>
      </c>
      <c r="N14" s="35"/>
      <c r="O14" s="36" t="e">
        <f>+K14-'[8]jurnal 06.30'!F18</f>
        <v>#REF!</v>
      </c>
      <c r="P14" s="36" t="e">
        <f>+E14-'[8]jurnal 06.30'!T15</f>
        <v>#REF!</v>
      </c>
      <c r="Q14" s="36">
        <f>+H14/D14</f>
        <v>0.37118060839378614</v>
      </c>
      <c r="R14" s="36">
        <v>392441</v>
      </c>
      <c r="S14" s="36"/>
      <c r="T14" s="632">
        <f t="shared" si="6"/>
        <v>399255.36000000004</v>
      </c>
      <c r="U14" s="13">
        <v>2025.11</v>
      </c>
    </row>
    <row r="15" spans="1:21">
      <c r="A15" s="12">
        <v>12</v>
      </c>
      <c r="B15" s="12">
        <v>2025.12</v>
      </c>
      <c r="C15" s="31">
        <f t="shared" si="0"/>
        <v>38689999.997000001</v>
      </c>
      <c r="D15" s="31">
        <v>35172727.270000003</v>
      </c>
      <c r="E15" s="32">
        <f t="shared" si="1"/>
        <v>3517272.7270000004</v>
      </c>
      <c r="F15" s="32"/>
      <c r="G15" s="31">
        <v>4330909.09</v>
      </c>
      <c r="H15" s="31"/>
      <c r="I15" s="31">
        <f>SUM(F15:H15)</f>
        <v>4330909.09</v>
      </c>
      <c r="J15" s="31"/>
      <c r="K15" s="33">
        <f t="shared" si="8"/>
        <v>433090.90899999999</v>
      </c>
      <c r="L15" s="84">
        <f t="shared" si="4"/>
        <v>3084181.8180000004</v>
      </c>
      <c r="M15" s="34">
        <f>M14+L15</f>
        <v>-26382862.903000001</v>
      </c>
      <c r="N15" s="35"/>
      <c r="Q15" s="36">
        <f>+H15/D15</f>
        <v>0</v>
      </c>
      <c r="R15" s="36">
        <v>3084181.82</v>
      </c>
      <c r="S15" s="36"/>
    </row>
    <row r="16" spans="1:21">
      <c r="A16" s="780" t="s">
        <v>3</v>
      </c>
      <c r="B16" s="781"/>
      <c r="C16" s="38">
        <f>SUM(C4:C15)</f>
        <v>290022000.02600002</v>
      </c>
      <c r="D16" s="39">
        <f>SUM(D4:D15)</f>
        <v>263656363.66</v>
      </c>
      <c r="E16" s="40">
        <f>SUM(E4:E15)</f>
        <v>26365636.366000004</v>
      </c>
      <c r="F16" s="40"/>
      <c r="G16" s="39">
        <f>SUM(G4:G15)</f>
        <v>32781400.530000001</v>
      </c>
      <c r="H16" s="39">
        <f>SUM(H4:H15)</f>
        <v>469073629.96000004</v>
      </c>
      <c r="I16" s="39">
        <f>SUM(I4:I15)</f>
        <v>501855030.49000001</v>
      </c>
      <c r="J16" s="39">
        <f>SUM(J4:J15)</f>
        <v>48490.9</v>
      </c>
      <c r="K16" s="41">
        <f>SUM(K4:K15)</f>
        <v>50137012.149000011</v>
      </c>
      <c r="L16" s="85">
        <f>SUM(L3:L15)</f>
        <v>-23771375.783000004</v>
      </c>
      <c r="M16" s="291" t="s">
        <v>703</v>
      </c>
      <c r="N16" s="42">
        <f>SUM(N4:N15)</f>
        <v>0</v>
      </c>
      <c r="R16" s="290">
        <f>SUM(R4:R15)</f>
        <v>14780454.640000001</v>
      </c>
      <c r="S16" s="290">
        <f>SUM(S4:S15)</f>
        <v>38551830.420000002</v>
      </c>
    </row>
    <row r="17" spans="1:19">
      <c r="C17" s="88">
        <v>251332000</v>
      </c>
      <c r="D17" s="43">
        <f>+D16-'Guilgee balans'!G39</f>
        <v>0</v>
      </c>
      <c r="G17" s="44"/>
      <c r="H17" s="44">
        <f>+H16*0.1</f>
        <v>46907362.996000007</v>
      </c>
      <c r="I17" s="43"/>
      <c r="L17" s="43"/>
      <c r="R17" s="36">
        <f>+S16-R16</f>
        <v>23771375.780000001</v>
      </c>
      <c r="S17" s="36">
        <f>+S3+S16</f>
        <v>41163317.539999999</v>
      </c>
    </row>
    <row r="18" spans="1:19">
      <c r="D18" s="36"/>
      <c r="H18" s="36">
        <f>+H17-Gaali!K16</f>
        <v>46907362.996000007</v>
      </c>
      <c r="I18" s="36"/>
      <c r="K18" s="36"/>
      <c r="L18" s="13"/>
      <c r="M18" s="36">
        <f>M15+S18</f>
        <v>-3.0000023543834686E-3</v>
      </c>
      <c r="S18" s="36">
        <f>+S17-R16</f>
        <v>26382862.899999999</v>
      </c>
    </row>
    <row r="19" spans="1:19">
      <c r="L19" s="36"/>
      <c r="M19" s="36"/>
    </row>
    <row r="20" spans="1:19">
      <c r="L20" s="13"/>
    </row>
    <row r="21" spans="1:19">
      <c r="G21" s="36"/>
      <c r="K21" s="36"/>
      <c r="L21" s="13"/>
    </row>
    <row r="22" spans="1:19">
      <c r="J22" s="36"/>
      <c r="L22" s="13"/>
    </row>
    <row r="23" spans="1:19">
      <c r="L23" s="13"/>
    </row>
    <row r="24" spans="1:19">
      <c r="L24" s="13"/>
    </row>
    <row r="25" spans="1:19">
      <c r="L25" s="13"/>
    </row>
    <row r="26" spans="1:19">
      <c r="L26" s="13"/>
    </row>
    <row r="27" spans="1:19" s="46" customFormat="1" ht="36" hidden="1">
      <c r="A27" s="45" t="s">
        <v>4</v>
      </c>
      <c r="B27" s="45" t="s">
        <v>100</v>
      </c>
      <c r="C27" s="45" t="s">
        <v>108</v>
      </c>
      <c r="D27" s="45" t="s">
        <v>109</v>
      </c>
      <c r="E27" s="45" t="s">
        <v>110</v>
      </c>
      <c r="F27" s="45"/>
      <c r="G27" s="45" t="s">
        <v>112</v>
      </c>
      <c r="H27" s="45" t="s">
        <v>113</v>
      </c>
      <c r="I27" s="45" t="s">
        <v>114</v>
      </c>
      <c r="J27" s="45" t="s">
        <v>120</v>
      </c>
      <c r="K27" s="45" t="s">
        <v>116</v>
      </c>
      <c r="L27" s="13"/>
      <c r="M27" s="45" t="s">
        <v>118</v>
      </c>
      <c r="N27" s="45" t="s">
        <v>119</v>
      </c>
    </row>
    <row r="28" spans="1:19" hidden="1">
      <c r="A28" s="47" t="s">
        <v>5</v>
      </c>
      <c r="B28" s="48"/>
      <c r="C28" s="48"/>
      <c r="D28" s="48"/>
      <c r="E28" s="48"/>
      <c r="F28" s="48"/>
      <c r="G28" s="48"/>
      <c r="H28" s="48"/>
      <c r="I28" s="48"/>
      <c r="J28" s="48"/>
      <c r="K28" s="48"/>
      <c r="L28" s="13"/>
      <c r="M28" s="48">
        <v>-882100.59</v>
      </c>
      <c r="N28" s="48"/>
    </row>
    <row r="29" spans="1:19" hidden="1">
      <c r="A29" s="49">
        <v>1</v>
      </c>
      <c r="B29" s="48">
        <v>2020.01</v>
      </c>
      <c r="C29" s="48">
        <v>101750000</v>
      </c>
      <c r="D29" s="48">
        <v>92499999.999999985</v>
      </c>
      <c r="E29" s="48">
        <v>9249999.9999999981</v>
      </c>
      <c r="F29" s="48"/>
      <c r="G29" s="48">
        <v>24347031.329999998</v>
      </c>
      <c r="H29" s="48">
        <v>62531929.740000002</v>
      </c>
      <c r="I29" s="48">
        <v>86878961.069999993</v>
      </c>
      <c r="J29" s="48">
        <v>1931030.8</v>
      </c>
      <c r="K29" s="48">
        <v>8494793.0269999988</v>
      </c>
      <c r="L29" s="13"/>
      <c r="M29" s="48">
        <v>-126893.61700000055</v>
      </c>
      <c r="N29" s="48"/>
      <c r="O29" s="13">
        <v>0</v>
      </c>
      <c r="P29" s="13">
        <v>0</v>
      </c>
      <c r="Q29" s="13">
        <v>0.67602086205405421</v>
      </c>
    </row>
    <row r="30" spans="1:19" hidden="1">
      <c r="A30" s="49">
        <v>2</v>
      </c>
      <c r="B30" s="48">
        <v>2020.02</v>
      </c>
      <c r="C30" s="48">
        <v>78000000</v>
      </c>
      <c r="D30" s="48">
        <v>70909090.909090906</v>
      </c>
      <c r="E30" s="48">
        <v>7090909.0909090908</v>
      </c>
      <c r="F30" s="48"/>
      <c r="G30" s="48">
        <v>8994188.1899999995</v>
      </c>
      <c r="H30" s="48">
        <v>67093796.829999998</v>
      </c>
      <c r="I30" s="48">
        <v>76087985.019999996</v>
      </c>
      <c r="J30" s="48"/>
      <c r="K30" s="48">
        <v>7608798.5020000003</v>
      </c>
      <c r="L30" s="13"/>
      <c r="M30" s="48">
        <v>-644783.02809091005</v>
      </c>
      <c r="N30" s="48"/>
      <c r="O30" s="13">
        <v>0</v>
      </c>
      <c r="P30" s="13">
        <v>0</v>
      </c>
      <c r="Q30" s="13">
        <v>0.9461945706794872</v>
      </c>
    </row>
    <row r="31" spans="1:19" hidden="1">
      <c r="A31" s="49">
        <v>3</v>
      </c>
      <c r="B31" s="48">
        <v>2020.03</v>
      </c>
      <c r="C31" s="48">
        <v>97000000</v>
      </c>
      <c r="D31" s="48">
        <v>88181818.181818172</v>
      </c>
      <c r="E31" s="48">
        <v>8818181.8181818184</v>
      </c>
      <c r="F31" s="48"/>
      <c r="G31" s="48">
        <v>4681829.0999999987</v>
      </c>
      <c r="H31" s="48">
        <v>75861461.821449995</v>
      </c>
      <c r="I31" s="48">
        <v>80543290.921449989</v>
      </c>
      <c r="J31" s="48">
        <v>74909</v>
      </c>
      <c r="K31" s="48">
        <v>8046838.1921449993</v>
      </c>
      <c r="L31" s="13"/>
      <c r="M31" s="48">
        <v>-2.0540909899864346E-3</v>
      </c>
      <c r="N31" s="48">
        <v>126560.6</v>
      </c>
      <c r="O31" s="13">
        <v>8.9999986812472343E-3</v>
      </c>
      <c r="P31" s="13">
        <v>0</v>
      </c>
      <c r="Q31" s="13">
        <v>0.86028461859376293</v>
      </c>
    </row>
    <row r="32" spans="1:19" hidden="1">
      <c r="A32" s="49">
        <v>4</v>
      </c>
      <c r="B32" s="48">
        <v>2020.04</v>
      </c>
      <c r="C32" s="48">
        <v>76000000</v>
      </c>
      <c r="D32" s="48">
        <v>69090909.090909079</v>
      </c>
      <c r="E32" s="48">
        <v>6909090.9090909082</v>
      </c>
      <c r="F32" s="48"/>
      <c r="G32" s="48">
        <v>15388234.599999998</v>
      </c>
      <c r="H32" s="48">
        <v>55168843.136599995</v>
      </c>
      <c r="I32" s="48">
        <v>70557077.736599997</v>
      </c>
      <c r="J32" s="48">
        <v>546344.57000000007</v>
      </c>
      <c r="K32" s="48">
        <v>7001073.31666</v>
      </c>
      <c r="L32" s="13"/>
      <c r="M32" s="48">
        <v>-91982.409623182379</v>
      </c>
      <c r="N32" s="48"/>
      <c r="O32" s="13">
        <v>0</v>
      </c>
      <c r="P32" s="13">
        <v>0</v>
      </c>
      <c r="Q32" s="13">
        <v>0.79849641381921055</v>
      </c>
    </row>
    <row r="33" spans="1:17" hidden="1">
      <c r="A33" s="49">
        <v>5</v>
      </c>
      <c r="B33" s="48">
        <v>2020.05</v>
      </c>
      <c r="C33" s="48"/>
      <c r="D33" s="48">
        <v>0</v>
      </c>
      <c r="E33" s="48">
        <v>0</v>
      </c>
      <c r="F33" s="48"/>
      <c r="G33" s="48">
        <v>11857550.918182002</v>
      </c>
      <c r="H33" s="48">
        <v>88404535.620100006</v>
      </c>
      <c r="I33" s="48">
        <v>100262086.53828201</v>
      </c>
      <c r="J33" s="48"/>
      <c r="K33" s="48">
        <v>10026208.653828202</v>
      </c>
      <c r="L33" s="13"/>
      <c r="M33" s="48">
        <v>-10118191.063451383</v>
      </c>
      <c r="N33" s="48"/>
      <c r="O33" s="13">
        <v>0</v>
      </c>
      <c r="P33" s="13">
        <v>0</v>
      </c>
    </row>
    <row r="34" spans="1:17" hidden="1">
      <c r="A34" s="49">
        <v>6</v>
      </c>
      <c r="B34" s="48">
        <v>2020.06</v>
      </c>
      <c r="C34" s="48">
        <v>199512000</v>
      </c>
      <c r="D34" s="48">
        <v>181374545.45454544</v>
      </c>
      <c r="E34" s="48">
        <v>18137454.545454543</v>
      </c>
      <c r="F34" s="48"/>
      <c r="G34" s="48">
        <v>4783749.1000000006</v>
      </c>
      <c r="H34" s="48">
        <v>66152802.543600008</v>
      </c>
      <c r="I34" s="48">
        <v>70936551.643600002</v>
      </c>
      <c r="J34" s="48"/>
      <c r="K34" s="48">
        <v>7093655.1643600008</v>
      </c>
      <c r="L34" s="13"/>
      <c r="M34" s="48">
        <v>925608.31764315907</v>
      </c>
      <c r="N34" s="48"/>
      <c r="O34" s="13">
        <v>0</v>
      </c>
      <c r="P34" s="13">
        <v>0</v>
      </c>
      <c r="Q34" s="13">
        <v>0.36473035605858301</v>
      </c>
    </row>
    <row r="35" spans="1:17" hidden="1">
      <c r="A35" s="49">
        <v>7</v>
      </c>
      <c r="B35" s="48">
        <v>2020.07</v>
      </c>
      <c r="C35" s="48">
        <v>250450000</v>
      </c>
      <c r="D35" s="48">
        <v>227681818.18181816</v>
      </c>
      <c r="E35" s="48">
        <v>22768181.818181816</v>
      </c>
      <c r="F35" s="48"/>
      <c r="G35" s="48">
        <v>5718894.534545999</v>
      </c>
      <c r="H35" s="48">
        <v>10743641.863499999</v>
      </c>
      <c r="I35" s="48">
        <v>16462536.398045998</v>
      </c>
      <c r="J35" s="48">
        <v>48499.09</v>
      </c>
      <c r="K35" s="48">
        <v>1641403.7308045998</v>
      </c>
      <c r="L35" s="13"/>
      <c r="M35" s="48">
        <v>22052386.405020375</v>
      </c>
      <c r="N35" s="48"/>
      <c r="P35" s="13">
        <v>0</v>
      </c>
      <c r="Q35" s="13">
        <v>4.7187087442004394E-2</v>
      </c>
    </row>
    <row r="36" spans="1:17" hidden="1">
      <c r="A36" s="49">
        <v>8</v>
      </c>
      <c r="B36" s="48">
        <v>2020.08</v>
      </c>
      <c r="C36" s="48">
        <v>150000000</v>
      </c>
      <c r="D36" s="48">
        <v>136363636.36363634</v>
      </c>
      <c r="E36" s="48">
        <v>13636363.636363635</v>
      </c>
      <c r="F36" s="48"/>
      <c r="G36" s="48">
        <v>7267493.5909079993</v>
      </c>
      <c r="H36" s="48">
        <v>84001034.5845</v>
      </c>
      <c r="I36" s="48">
        <v>91268528.175408006</v>
      </c>
      <c r="J36" s="48">
        <v>426090.89</v>
      </c>
      <c r="K36" s="48">
        <v>9084243.7285408005</v>
      </c>
      <c r="L36" s="13"/>
      <c r="M36" s="48">
        <v>26604506.312843211</v>
      </c>
      <c r="N36" s="48"/>
      <c r="O36" s="13">
        <v>9084243.7285408005</v>
      </c>
      <c r="P36" s="13">
        <v>13636363.636363635</v>
      </c>
      <c r="Q36" s="13">
        <v>0.61600758695300006</v>
      </c>
    </row>
    <row r="37" spans="1:17" hidden="1">
      <c r="A37" s="49">
        <v>9</v>
      </c>
      <c r="B37" s="48">
        <v>2020.09</v>
      </c>
      <c r="C37" s="48">
        <v>145000000</v>
      </c>
      <c r="D37" s="48">
        <v>131818181.81818181</v>
      </c>
      <c r="E37" s="48">
        <v>13181818.181818182</v>
      </c>
      <c r="F37" s="48"/>
      <c r="G37" s="48">
        <v>9063325.4499999993</v>
      </c>
      <c r="H37" s="48">
        <v>106858937.87460001</v>
      </c>
      <c r="I37" s="48">
        <v>115922263.32460001</v>
      </c>
      <c r="J37" s="48">
        <v>948000</v>
      </c>
      <c r="K37" s="48">
        <v>11497426.332460001</v>
      </c>
      <c r="L37" s="13"/>
      <c r="M37" s="48">
        <v>28288898.16220139</v>
      </c>
      <c r="N37" s="48"/>
      <c r="O37" s="13">
        <v>11497426.332460001</v>
      </c>
      <c r="P37" s="13">
        <v>13181818.181818182</v>
      </c>
      <c r="Q37" s="13">
        <v>0.81065401146248284</v>
      </c>
    </row>
    <row r="38" spans="1:17" hidden="1">
      <c r="A38" s="49">
        <v>10</v>
      </c>
      <c r="B38" s="48">
        <v>2020.1</v>
      </c>
      <c r="C38" s="48">
        <v>95000000</v>
      </c>
      <c r="D38" s="48">
        <v>86363636.36363636</v>
      </c>
      <c r="E38" s="48">
        <v>8636363.6363636367</v>
      </c>
      <c r="F38" s="48"/>
      <c r="G38" s="48">
        <v>11716988.672728</v>
      </c>
      <c r="H38" s="48">
        <v>73916829.378450006</v>
      </c>
      <c r="I38" s="48">
        <v>85633818.051178008</v>
      </c>
      <c r="J38" s="48"/>
      <c r="K38" s="48">
        <v>8563381.8051178008</v>
      </c>
      <c r="L38" s="13"/>
      <c r="M38" s="48">
        <v>28361879.993447229</v>
      </c>
      <c r="N38" s="48"/>
      <c r="O38" s="13">
        <v>110875244.06767501</v>
      </c>
      <c r="P38" s="13">
        <v>8636363.6363636367</v>
      </c>
      <c r="Q38" s="13">
        <v>0.85587907701363164</v>
      </c>
    </row>
    <row r="39" spans="1:17" hidden="1">
      <c r="A39" s="49">
        <v>11</v>
      </c>
      <c r="B39" s="48">
        <v>2020.11</v>
      </c>
      <c r="C39" s="48">
        <v>87500000</v>
      </c>
      <c r="D39" s="48">
        <v>79545454.545454532</v>
      </c>
      <c r="E39" s="48">
        <v>7954545.4545454532</v>
      </c>
      <c r="F39" s="48"/>
      <c r="G39" s="48">
        <v>8787005.4145449996</v>
      </c>
      <c r="H39" s="48">
        <v>71964672.801149994</v>
      </c>
      <c r="I39" s="48">
        <v>80751678.215694994</v>
      </c>
      <c r="J39" s="48"/>
      <c r="K39" s="48">
        <v>8075167.8215694996</v>
      </c>
      <c r="L39" s="13"/>
      <c r="M39" s="48">
        <v>28241257.626423184</v>
      </c>
      <c r="N39" s="48"/>
      <c r="O39" s="13">
        <v>8075167.8215694996</v>
      </c>
      <c r="P39" s="13">
        <v>7954545.4545454532</v>
      </c>
      <c r="Q39" s="13">
        <v>0.90469874378588577</v>
      </c>
    </row>
    <row r="40" spans="1:17" hidden="1">
      <c r="A40" s="49">
        <v>12</v>
      </c>
      <c r="B40" s="48">
        <v>2020.12</v>
      </c>
      <c r="C40" s="48">
        <v>100000000</v>
      </c>
      <c r="D40" s="48">
        <v>90909090.909090906</v>
      </c>
      <c r="E40" s="48">
        <v>9090909.0909090918</v>
      </c>
      <c r="F40" s="48"/>
      <c r="G40" s="48">
        <v>36139302.150000006</v>
      </c>
      <c r="H40" s="48">
        <v>81423402.445050001</v>
      </c>
      <c r="I40" s="48">
        <v>117562704.59505001</v>
      </c>
      <c r="J40" s="48">
        <v>17820334.550000001</v>
      </c>
      <c r="K40" s="48">
        <v>9974237.004505001</v>
      </c>
      <c r="L40" s="13"/>
      <c r="M40" s="48">
        <v>27357929.712827273</v>
      </c>
      <c r="N40" s="48"/>
      <c r="Q40" s="13">
        <v>0.89565742689555006</v>
      </c>
    </row>
    <row r="41" spans="1:17" hidden="1">
      <c r="A41" s="48" t="s">
        <v>3</v>
      </c>
      <c r="B41" s="48"/>
      <c r="C41" s="48">
        <v>1380212000</v>
      </c>
      <c r="D41" s="48">
        <v>1254738181.8181818</v>
      </c>
      <c r="E41" s="48">
        <v>125473818.18181819</v>
      </c>
      <c r="F41" s="48"/>
      <c r="G41" s="48">
        <v>148745593.05090901</v>
      </c>
      <c r="H41" s="48">
        <v>844121888.63900006</v>
      </c>
      <c r="I41" s="48">
        <v>992867481.68990898</v>
      </c>
      <c r="J41" s="48">
        <v>21795208.900000002</v>
      </c>
      <c r="K41" s="48">
        <v>97107227.278990895</v>
      </c>
      <c r="L41" s="13"/>
      <c r="M41" s="48">
        <v>-5.9662852436304092E-9</v>
      </c>
      <c r="N41" s="48">
        <v>126560.6</v>
      </c>
    </row>
    <row r="42" spans="1:17" hidden="1">
      <c r="L42" s="13"/>
    </row>
    <row r="43" spans="1:17">
      <c r="L43" s="13"/>
    </row>
    <row r="44" spans="1:17">
      <c r="L44" s="13"/>
    </row>
    <row r="45" spans="1:17">
      <c r="L45" s="50"/>
    </row>
    <row r="46" spans="1:17">
      <c r="L46" s="50"/>
    </row>
    <row r="47" spans="1:17">
      <c r="L47" s="50"/>
    </row>
    <row r="48" spans="1:17">
      <c r="L48" s="50"/>
    </row>
    <row r="49" spans="12:12">
      <c r="L49" s="50"/>
    </row>
    <row r="50" spans="12:12">
      <c r="L50" s="50"/>
    </row>
    <row r="51" spans="12:12">
      <c r="L51" s="50"/>
    </row>
    <row r="52" spans="12:12">
      <c r="L52" s="50"/>
    </row>
    <row r="53" spans="12:12">
      <c r="L53" s="50"/>
    </row>
    <row r="54" spans="12:12">
      <c r="L54" s="50"/>
    </row>
    <row r="55" spans="12:12">
      <c r="L55" s="50"/>
    </row>
    <row r="56" spans="12:12">
      <c r="L56" s="50"/>
    </row>
    <row r="57" spans="12:12">
      <c r="L57" s="50"/>
    </row>
    <row r="58" spans="12:12">
      <c r="L58" s="50"/>
    </row>
    <row r="59" spans="12:12">
      <c r="L59" s="50"/>
    </row>
    <row r="60" spans="12:12">
      <c r="L60" s="50"/>
    </row>
    <row r="61" spans="12:12">
      <c r="L61" s="50"/>
    </row>
    <row r="62" spans="12:12">
      <c r="L62" s="50"/>
    </row>
    <row r="63" spans="12:12">
      <c r="L63" s="50"/>
    </row>
    <row r="64" spans="12:12">
      <c r="L64" s="50"/>
    </row>
    <row r="65" spans="12:12">
      <c r="L65" s="50"/>
    </row>
    <row r="66" spans="12:12">
      <c r="L66" s="50"/>
    </row>
    <row r="67" spans="12:12">
      <c r="L67" s="50"/>
    </row>
    <row r="68" spans="12:12">
      <c r="L68" s="50"/>
    </row>
    <row r="69" spans="12:12">
      <c r="L69" s="50"/>
    </row>
    <row r="70" spans="12:12">
      <c r="L70" s="50"/>
    </row>
    <row r="71" spans="12:12">
      <c r="L71" s="50"/>
    </row>
    <row r="72" spans="12:12">
      <c r="L72" s="50"/>
    </row>
    <row r="73" spans="12:12">
      <c r="L73" s="50"/>
    </row>
    <row r="74" spans="12:12">
      <c r="L74" s="50"/>
    </row>
    <row r="75" spans="12:12">
      <c r="L75" s="50"/>
    </row>
    <row r="76" spans="12:12">
      <c r="L76" s="50"/>
    </row>
    <row r="77" spans="12:12">
      <c r="L77" s="50"/>
    </row>
    <row r="78" spans="12:12">
      <c r="L78" s="50"/>
    </row>
    <row r="79" spans="12:12">
      <c r="L79" s="50"/>
    </row>
    <row r="80" spans="12:12">
      <c r="L80" s="50"/>
    </row>
    <row r="81" spans="12:12">
      <c r="L81" s="50"/>
    </row>
    <row r="82" spans="12:12">
      <c r="L82" s="50"/>
    </row>
    <row r="83" spans="12:12">
      <c r="L83" s="50"/>
    </row>
    <row r="84" spans="12:12">
      <c r="L84" s="50"/>
    </row>
    <row r="85" spans="12:12">
      <c r="L85" s="50"/>
    </row>
    <row r="86" spans="12:12">
      <c r="L86" s="50"/>
    </row>
    <row r="87" spans="12:12">
      <c r="L87" s="50"/>
    </row>
    <row r="88" spans="12:12">
      <c r="L88" s="50"/>
    </row>
    <row r="89" spans="12:12">
      <c r="L89" s="50"/>
    </row>
    <row r="90" spans="12:12">
      <c r="L90" s="50"/>
    </row>
    <row r="91" spans="12:12">
      <c r="L91" s="50"/>
    </row>
    <row r="92" spans="12:12">
      <c r="L92" s="50"/>
    </row>
    <row r="93" spans="12:12">
      <c r="L93" s="50"/>
    </row>
    <row r="94" spans="12:12">
      <c r="L94" s="50"/>
    </row>
    <row r="95" spans="12:12">
      <c r="L95" s="50"/>
    </row>
    <row r="96" spans="12:12">
      <c r="L96" s="50"/>
    </row>
    <row r="97" spans="12:12">
      <c r="L97" s="50"/>
    </row>
    <row r="98" spans="12:12">
      <c r="L98" s="50"/>
    </row>
    <row r="99" spans="12:12">
      <c r="L99" s="50"/>
    </row>
    <row r="100" spans="12:12">
      <c r="L100" s="50"/>
    </row>
    <row r="101" spans="12:12">
      <c r="L101" s="50"/>
    </row>
    <row r="102" spans="12:12">
      <c r="L102" s="50"/>
    </row>
    <row r="103" spans="12:12">
      <c r="L103" s="50"/>
    </row>
    <row r="104" spans="12:12">
      <c r="L104" s="50"/>
    </row>
    <row r="105" spans="12:12">
      <c r="L105" s="50"/>
    </row>
    <row r="106" spans="12:12">
      <c r="L106" s="50"/>
    </row>
    <row r="107" spans="12:12">
      <c r="L107" s="50"/>
    </row>
    <row r="108" spans="12:12">
      <c r="L108" s="50"/>
    </row>
    <row r="109" spans="12:12">
      <c r="L109" s="50"/>
    </row>
    <row r="110" spans="12:12">
      <c r="L110" s="50"/>
    </row>
    <row r="111" spans="12:12">
      <c r="L111" s="50"/>
    </row>
    <row r="112" spans="12:12">
      <c r="L112" s="50"/>
    </row>
    <row r="113" spans="12:12">
      <c r="L113" s="50"/>
    </row>
    <row r="114" spans="12:12">
      <c r="L114" s="50"/>
    </row>
    <row r="115" spans="12:12">
      <c r="L115" s="50"/>
    </row>
    <row r="116" spans="12:12">
      <c r="L116" s="50"/>
    </row>
    <row r="117" spans="12:12">
      <c r="L117" s="50"/>
    </row>
    <row r="118" spans="12:12">
      <c r="L118" s="50"/>
    </row>
    <row r="119" spans="12:12">
      <c r="L119" s="50"/>
    </row>
    <row r="120" spans="12:12">
      <c r="L120" s="50"/>
    </row>
    <row r="121" spans="12:12">
      <c r="L121" s="50"/>
    </row>
    <row r="122" spans="12:12">
      <c r="L122" s="50"/>
    </row>
    <row r="123" spans="12:12">
      <c r="L123" s="50"/>
    </row>
    <row r="124" spans="12:12">
      <c r="L124" s="50"/>
    </row>
    <row r="125" spans="12:12">
      <c r="L125" s="50"/>
    </row>
    <row r="126" spans="12:12">
      <c r="L126" s="50"/>
    </row>
    <row r="127" spans="12:12">
      <c r="L127" s="50"/>
    </row>
    <row r="128" spans="12:12">
      <c r="L128" s="50"/>
    </row>
    <row r="129" spans="12:12">
      <c r="L129" s="50"/>
    </row>
    <row r="130" spans="12:12">
      <c r="L130" s="50"/>
    </row>
    <row r="131" spans="12:12">
      <c r="L131" s="50"/>
    </row>
    <row r="132" spans="12:12">
      <c r="L132" s="50"/>
    </row>
    <row r="133" spans="12:12">
      <c r="L133" s="50"/>
    </row>
    <row r="134" spans="12:12">
      <c r="L134" s="50"/>
    </row>
    <row r="135" spans="12:12">
      <c r="L135" s="50"/>
    </row>
    <row r="136" spans="12:12">
      <c r="L136" s="50"/>
    </row>
    <row r="137" spans="12:12">
      <c r="L137" s="50"/>
    </row>
    <row r="138" spans="12:12">
      <c r="L138" s="50"/>
    </row>
    <row r="139" spans="12:12">
      <c r="L139" s="50"/>
    </row>
    <row r="140" spans="12:12">
      <c r="L140" s="50"/>
    </row>
    <row r="141" spans="12:12">
      <c r="L141" s="50"/>
    </row>
    <row r="142" spans="12:12">
      <c r="L142" s="50"/>
    </row>
    <row r="143" spans="12:12">
      <c r="L143" s="50"/>
    </row>
    <row r="144" spans="12:12">
      <c r="L144" s="50"/>
    </row>
    <row r="145" spans="12:12">
      <c r="L145" s="50"/>
    </row>
    <row r="146" spans="12:12">
      <c r="L146" s="50"/>
    </row>
    <row r="147" spans="12:12">
      <c r="L147" s="50"/>
    </row>
    <row r="148" spans="12:12">
      <c r="L148" s="50"/>
    </row>
    <row r="149" spans="12:12">
      <c r="L149" s="50"/>
    </row>
    <row r="150" spans="12:12">
      <c r="L150" s="50"/>
    </row>
    <row r="151" spans="12:12">
      <c r="L151" s="50"/>
    </row>
    <row r="152" spans="12:12">
      <c r="L152" s="50"/>
    </row>
    <row r="153" spans="12:12">
      <c r="L153" s="50"/>
    </row>
    <row r="154" spans="12:12">
      <c r="L154" s="50"/>
    </row>
    <row r="155" spans="12:12">
      <c r="L155" s="50"/>
    </row>
    <row r="156" spans="12:12">
      <c r="L156" s="50"/>
    </row>
    <row r="157" spans="12:12">
      <c r="L157" s="50"/>
    </row>
    <row r="158" spans="12:12">
      <c r="L158" s="50"/>
    </row>
    <row r="159" spans="12:12">
      <c r="L159" s="50"/>
    </row>
    <row r="160" spans="12:12">
      <c r="L160" s="50"/>
    </row>
    <row r="161" spans="12:12">
      <c r="L161" s="50"/>
    </row>
    <row r="162" spans="12:12">
      <c r="L162" s="50"/>
    </row>
    <row r="163" spans="12:12">
      <c r="L163" s="50"/>
    </row>
    <row r="164" spans="12:12">
      <c r="L164" s="50"/>
    </row>
    <row r="165" spans="12:12">
      <c r="L165" s="50"/>
    </row>
    <row r="166" spans="12:12">
      <c r="L166" s="50"/>
    </row>
    <row r="167" spans="12:12">
      <c r="L167" s="50"/>
    </row>
    <row r="168" spans="12:12">
      <c r="L168" s="50"/>
    </row>
    <row r="169" spans="12:12">
      <c r="L169" s="50"/>
    </row>
    <row r="170" spans="12:12">
      <c r="L170" s="50"/>
    </row>
    <row r="171" spans="12:12">
      <c r="L171" s="50"/>
    </row>
    <row r="172" spans="12:12">
      <c r="L172" s="50"/>
    </row>
    <row r="173" spans="12:12">
      <c r="L173" s="50"/>
    </row>
    <row r="174" spans="12:12">
      <c r="L174" s="50"/>
    </row>
    <row r="175" spans="12:12">
      <c r="L175" s="50"/>
    </row>
    <row r="176" spans="12:12">
      <c r="L176" s="50"/>
    </row>
    <row r="177" spans="12:12">
      <c r="L177" s="50"/>
    </row>
    <row r="178" spans="12:12">
      <c r="L178" s="50"/>
    </row>
    <row r="179" spans="12:12">
      <c r="L179" s="50"/>
    </row>
    <row r="180" spans="12:12">
      <c r="L180" s="50"/>
    </row>
    <row r="181" spans="12:12">
      <c r="L181" s="50"/>
    </row>
    <row r="182" spans="12:12">
      <c r="L182" s="50"/>
    </row>
    <row r="183" spans="12:12">
      <c r="L183" s="50"/>
    </row>
    <row r="184" spans="12:12">
      <c r="L184" s="50"/>
    </row>
    <row r="185" spans="12:12">
      <c r="L185" s="50"/>
    </row>
    <row r="186" spans="12:12">
      <c r="L186" s="50"/>
    </row>
    <row r="187" spans="12:12">
      <c r="L187" s="50"/>
    </row>
    <row r="188" spans="12:12">
      <c r="L188" s="50"/>
    </row>
    <row r="189" spans="12:12">
      <c r="L189" s="50"/>
    </row>
    <row r="190" spans="12:12">
      <c r="L190" s="50"/>
    </row>
    <row r="191" spans="12:12">
      <c r="L191" s="50"/>
    </row>
    <row r="192" spans="12:12">
      <c r="L192" s="50"/>
    </row>
    <row r="193" spans="12:12">
      <c r="L193" s="50"/>
    </row>
    <row r="194" spans="12:12">
      <c r="L194" s="50"/>
    </row>
    <row r="195" spans="12:12">
      <c r="L195" s="50"/>
    </row>
    <row r="196" spans="12:12">
      <c r="L196" s="50"/>
    </row>
    <row r="197" spans="12:12">
      <c r="L197" s="50"/>
    </row>
    <row r="198" spans="12:12">
      <c r="L198" s="50"/>
    </row>
    <row r="199" spans="12:12">
      <c r="L199" s="50"/>
    </row>
    <row r="200" spans="12:12">
      <c r="L200" s="50"/>
    </row>
    <row r="201" spans="12:12">
      <c r="L201" s="50"/>
    </row>
    <row r="202" spans="12:12">
      <c r="L202" s="50"/>
    </row>
    <row r="203" spans="12:12">
      <c r="L203" s="50"/>
    </row>
    <row r="204" spans="12:12">
      <c r="L204" s="50"/>
    </row>
    <row r="205" spans="12:12">
      <c r="L205" s="50"/>
    </row>
    <row r="206" spans="12:12">
      <c r="L206" s="50"/>
    </row>
    <row r="207" spans="12:12">
      <c r="L207" s="50"/>
    </row>
    <row r="208" spans="12:12">
      <c r="L208" s="50"/>
    </row>
    <row r="209" spans="12:12">
      <c r="L209" s="50"/>
    </row>
    <row r="210" spans="12:12">
      <c r="L210" s="50"/>
    </row>
    <row r="211" spans="12:12">
      <c r="L211" s="50"/>
    </row>
    <row r="212" spans="12:12">
      <c r="L212" s="50"/>
    </row>
    <row r="213" spans="12:12">
      <c r="L213" s="50"/>
    </row>
    <row r="214" spans="12:12">
      <c r="L214" s="50"/>
    </row>
    <row r="215" spans="12:12">
      <c r="L215" s="50"/>
    </row>
    <row r="216" spans="12:12">
      <c r="L216" s="50"/>
    </row>
    <row r="217" spans="12:12">
      <c r="L217" s="50"/>
    </row>
    <row r="218" spans="12:12">
      <c r="L218" s="50"/>
    </row>
    <row r="219" spans="12:12">
      <c r="L219" s="50"/>
    </row>
    <row r="220" spans="12:12">
      <c r="L220" s="50"/>
    </row>
    <row r="221" spans="12:12">
      <c r="L221" s="50"/>
    </row>
    <row r="222" spans="12:12">
      <c r="L222" s="50"/>
    </row>
    <row r="223" spans="12:12">
      <c r="L223" s="50"/>
    </row>
    <row r="224" spans="12:12">
      <c r="L224" s="50"/>
    </row>
    <row r="225" spans="12:12">
      <c r="L225" s="50"/>
    </row>
    <row r="226" spans="12:12">
      <c r="L226" s="50"/>
    </row>
    <row r="227" spans="12:12">
      <c r="L227" s="50"/>
    </row>
    <row r="228" spans="12:12">
      <c r="L228" s="50"/>
    </row>
    <row r="229" spans="12:12">
      <c r="L229" s="50"/>
    </row>
    <row r="230" spans="12:12">
      <c r="L230" s="50"/>
    </row>
    <row r="231" spans="12:12">
      <c r="L231" s="50"/>
    </row>
    <row r="232" spans="12:12">
      <c r="L232" s="50"/>
    </row>
    <row r="233" spans="12:12">
      <c r="L233" s="50"/>
    </row>
    <row r="234" spans="12:12">
      <c r="L234" s="50"/>
    </row>
    <row r="235" spans="12:12">
      <c r="L235" s="50"/>
    </row>
    <row r="236" spans="12:12">
      <c r="L236" s="50"/>
    </row>
    <row r="237" spans="12:12">
      <c r="L237" s="50"/>
    </row>
    <row r="238" spans="12:12">
      <c r="L238" s="50"/>
    </row>
    <row r="239" spans="12:12">
      <c r="L239" s="50"/>
    </row>
    <row r="240" spans="12:12">
      <c r="L240" s="50"/>
    </row>
    <row r="241" spans="12:12">
      <c r="L241" s="50"/>
    </row>
    <row r="242" spans="12:12">
      <c r="L242" s="50"/>
    </row>
    <row r="243" spans="12:12">
      <c r="L243" s="50"/>
    </row>
    <row r="244" spans="12:12">
      <c r="L244" s="50"/>
    </row>
    <row r="245" spans="12:12">
      <c r="L245" s="50"/>
    </row>
    <row r="246" spans="12:12">
      <c r="L246" s="50"/>
    </row>
    <row r="247" spans="12:12">
      <c r="L247" s="50"/>
    </row>
    <row r="248" spans="12:12">
      <c r="L248" s="50"/>
    </row>
    <row r="249" spans="12:12">
      <c r="L249" s="50"/>
    </row>
    <row r="250" spans="12:12">
      <c r="L250" s="50"/>
    </row>
    <row r="251" spans="12:12">
      <c r="L251" s="50"/>
    </row>
    <row r="252" spans="12:12">
      <c r="L252" s="50"/>
    </row>
    <row r="253" spans="12:12">
      <c r="L253" s="50"/>
    </row>
    <row r="254" spans="12:12">
      <c r="L254" s="50"/>
    </row>
    <row r="255" spans="12:12">
      <c r="L255" s="50"/>
    </row>
    <row r="256" spans="12:12">
      <c r="L256" s="50"/>
    </row>
    <row r="257" spans="12:12">
      <c r="L257" s="50"/>
    </row>
    <row r="258" spans="12:12">
      <c r="L258" s="50"/>
    </row>
    <row r="259" spans="12:12">
      <c r="L259" s="50"/>
    </row>
    <row r="260" spans="12:12">
      <c r="L260" s="50"/>
    </row>
    <row r="261" spans="12:12">
      <c r="L261" s="50"/>
    </row>
    <row r="262" spans="12:12">
      <c r="L262" s="50"/>
    </row>
    <row r="263" spans="12:12">
      <c r="L263" s="50"/>
    </row>
    <row r="264" spans="12:12">
      <c r="L264" s="50"/>
    </row>
    <row r="265" spans="12:12">
      <c r="L265" s="50"/>
    </row>
    <row r="266" spans="12:12">
      <c r="L266" s="50"/>
    </row>
    <row r="267" spans="12:12">
      <c r="L267" s="50"/>
    </row>
    <row r="268" spans="12:12">
      <c r="L268" s="50"/>
    </row>
    <row r="269" spans="12:12">
      <c r="L269" s="50"/>
    </row>
    <row r="270" spans="12:12">
      <c r="L270" s="50"/>
    </row>
    <row r="271" spans="12:12">
      <c r="L271" s="50"/>
    </row>
    <row r="272" spans="12:12">
      <c r="L272" s="50"/>
    </row>
    <row r="273" spans="12:12">
      <c r="L273" s="50"/>
    </row>
    <row r="274" spans="12:12">
      <c r="L274" s="50"/>
    </row>
    <row r="275" spans="12:12">
      <c r="L275" s="50"/>
    </row>
    <row r="276" spans="12:12">
      <c r="L276" s="50"/>
    </row>
    <row r="277" spans="12:12">
      <c r="L277" s="50"/>
    </row>
    <row r="278" spans="12:12">
      <c r="L278" s="50"/>
    </row>
    <row r="279" spans="12:12">
      <c r="L279" s="50"/>
    </row>
    <row r="280" spans="12:12">
      <c r="L280" s="50"/>
    </row>
    <row r="281" spans="12:12">
      <c r="L281" s="50"/>
    </row>
    <row r="282" spans="12:12">
      <c r="L282" s="50"/>
    </row>
    <row r="283" spans="12:12">
      <c r="L283" s="50"/>
    </row>
    <row r="284" spans="12:12">
      <c r="L284" s="50"/>
    </row>
    <row r="285" spans="12:12">
      <c r="L285" s="50"/>
    </row>
    <row r="286" spans="12:12">
      <c r="L286" s="50"/>
    </row>
    <row r="287" spans="12:12">
      <c r="L287" s="50"/>
    </row>
    <row r="288" spans="12:12">
      <c r="L288" s="50"/>
    </row>
    <row r="289" spans="12:12">
      <c r="L289" s="50"/>
    </row>
    <row r="290" spans="12:12">
      <c r="L290" s="50"/>
    </row>
    <row r="291" spans="12:12">
      <c r="L291" s="50"/>
    </row>
    <row r="292" spans="12:12">
      <c r="L292" s="50"/>
    </row>
    <row r="293" spans="12:12">
      <c r="L293" s="50"/>
    </row>
    <row r="294" spans="12:12">
      <c r="L294" s="50"/>
    </row>
    <row r="295" spans="12:12">
      <c r="L295" s="50"/>
    </row>
    <row r="296" spans="12:12">
      <c r="L296" s="50"/>
    </row>
    <row r="297" spans="12:12">
      <c r="L297" s="50"/>
    </row>
    <row r="298" spans="12:12">
      <c r="L298" s="50"/>
    </row>
    <row r="299" spans="12:12">
      <c r="L299" s="50"/>
    </row>
    <row r="300" spans="12:12">
      <c r="L300" s="50"/>
    </row>
    <row r="301" spans="12:12">
      <c r="L301" s="50"/>
    </row>
    <row r="302" spans="12:12">
      <c r="L302" s="50"/>
    </row>
    <row r="303" spans="12:12">
      <c r="L303" s="50"/>
    </row>
    <row r="304" spans="12:12">
      <c r="L304" s="50"/>
    </row>
    <row r="305" spans="12:12">
      <c r="L305" s="50"/>
    </row>
    <row r="306" spans="12:12">
      <c r="L306" s="50"/>
    </row>
    <row r="307" spans="12:12">
      <c r="L307" s="50"/>
    </row>
    <row r="308" spans="12:12">
      <c r="L308" s="50"/>
    </row>
    <row r="309" spans="12:12">
      <c r="L309" s="50"/>
    </row>
    <row r="310" spans="12:12">
      <c r="L310" s="50"/>
    </row>
    <row r="311" spans="12:12">
      <c r="L311" s="50"/>
    </row>
    <row r="312" spans="12:12">
      <c r="L312" s="50"/>
    </row>
    <row r="313" spans="12:12">
      <c r="L313" s="50"/>
    </row>
    <row r="314" spans="12:12">
      <c r="L314" s="50"/>
    </row>
    <row r="315" spans="12:12">
      <c r="L315" s="50"/>
    </row>
    <row r="316" spans="12:12">
      <c r="L316" s="50"/>
    </row>
    <row r="317" spans="12:12">
      <c r="L317" s="50"/>
    </row>
    <row r="318" spans="12:12">
      <c r="L318" s="50"/>
    </row>
    <row r="319" spans="12:12">
      <c r="L319" s="50"/>
    </row>
    <row r="320" spans="12:12">
      <c r="L320" s="50"/>
    </row>
    <row r="321" spans="12:12">
      <c r="L321" s="50"/>
    </row>
    <row r="322" spans="12:12">
      <c r="L322" s="50"/>
    </row>
    <row r="323" spans="12:12">
      <c r="L323" s="50"/>
    </row>
    <row r="324" spans="12:12">
      <c r="L324" s="50"/>
    </row>
    <row r="325" spans="12:12">
      <c r="L325" s="50"/>
    </row>
    <row r="326" spans="12:12">
      <c r="L326" s="50"/>
    </row>
    <row r="327" spans="12:12">
      <c r="L327" s="50"/>
    </row>
    <row r="328" spans="12:12">
      <c r="L328" s="50"/>
    </row>
    <row r="329" spans="12:12">
      <c r="L329" s="50"/>
    </row>
    <row r="330" spans="12:12">
      <c r="L330" s="50"/>
    </row>
    <row r="331" spans="12:12">
      <c r="L331" s="50"/>
    </row>
    <row r="332" spans="12:12">
      <c r="L332" s="50"/>
    </row>
    <row r="333" spans="12:12">
      <c r="L333" s="50"/>
    </row>
    <row r="334" spans="12:12">
      <c r="L334" s="50"/>
    </row>
    <row r="335" spans="12:12">
      <c r="L335" s="50"/>
    </row>
    <row r="336" spans="12:12">
      <c r="L336" s="50"/>
    </row>
    <row r="337" spans="12:12">
      <c r="L337" s="50"/>
    </row>
    <row r="338" spans="12:12">
      <c r="L338" s="50"/>
    </row>
    <row r="339" spans="12:12">
      <c r="L339" s="50"/>
    </row>
    <row r="340" spans="12:12">
      <c r="L340" s="50"/>
    </row>
    <row r="341" spans="12:12">
      <c r="L341" s="50"/>
    </row>
    <row r="342" spans="12:12">
      <c r="L342" s="50"/>
    </row>
    <row r="343" spans="12:12">
      <c r="L343" s="50"/>
    </row>
    <row r="344" spans="12:12">
      <c r="L344" s="50"/>
    </row>
    <row r="345" spans="12:12">
      <c r="L345" s="50"/>
    </row>
    <row r="346" spans="12:12">
      <c r="L346" s="50"/>
    </row>
    <row r="347" spans="12:12">
      <c r="L347" s="50"/>
    </row>
    <row r="348" spans="12:12">
      <c r="L348" s="50"/>
    </row>
    <row r="349" spans="12:12">
      <c r="L349" s="50"/>
    </row>
    <row r="350" spans="12:12">
      <c r="L350" s="50"/>
    </row>
    <row r="351" spans="12:12">
      <c r="L351" s="50"/>
    </row>
    <row r="352" spans="12:12">
      <c r="L352" s="50"/>
    </row>
    <row r="353" spans="12:12">
      <c r="L353" s="50"/>
    </row>
    <row r="354" spans="12:12">
      <c r="L354" s="50"/>
    </row>
    <row r="355" spans="12:12">
      <c r="L355" s="50"/>
    </row>
    <row r="356" spans="12:12">
      <c r="L356" s="50"/>
    </row>
    <row r="357" spans="12:12">
      <c r="L357" s="50"/>
    </row>
    <row r="358" spans="12:12">
      <c r="L358" s="50"/>
    </row>
    <row r="359" spans="12:12">
      <c r="L359" s="50"/>
    </row>
    <row r="360" spans="12:12">
      <c r="L360" s="50"/>
    </row>
    <row r="361" spans="12:12">
      <c r="L361" s="50"/>
    </row>
    <row r="362" spans="12:12">
      <c r="L362" s="50"/>
    </row>
    <row r="363" spans="12:12">
      <c r="L363" s="50"/>
    </row>
    <row r="364" spans="12:12">
      <c r="L364" s="50"/>
    </row>
    <row r="365" spans="12:12">
      <c r="L365" s="50"/>
    </row>
    <row r="366" spans="12:12">
      <c r="L366" s="50"/>
    </row>
    <row r="367" spans="12:12">
      <c r="L367" s="50"/>
    </row>
    <row r="368" spans="12:12">
      <c r="L368" s="50"/>
    </row>
    <row r="369" spans="12:12">
      <c r="L369" s="50"/>
    </row>
    <row r="370" spans="12:12">
      <c r="L370" s="50"/>
    </row>
    <row r="371" spans="12:12">
      <c r="L371" s="50"/>
    </row>
    <row r="372" spans="12:12">
      <c r="L372" s="50"/>
    </row>
    <row r="373" spans="12:12">
      <c r="L373" s="50"/>
    </row>
    <row r="374" spans="12:12">
      <c r="L374" s="50"/>
    </row>
    <row r="375" spans="12:12">
      <c r="L375" s="50"/>
    </row>
    <row r="376" spans="12:12">
      <c r="L376" s="50"/>
    </row>
    <row r="377" spans="12:12">
      <c r="L377" s="50"/>
    </row>
    <row r="378" spans="12:12">
      <c r="L378" s="50"/>
    </row>
    <row r="379" spans="12:12">
      <c r="L379" s="50"/>
    </row>
    <row r="380" spans="12:12">
      <c r="L380" s="50"/>
    </row>
    <row r="381" spans="12:12">
      <c r="L381" s="50"/>
    </row>
    <row r="382" spans="12:12">
      <c r="L382" s="50"/>
    </row>
    <row r="383" spans="12:12">
      <c r="L383" s="50"/>
    </row>
    <row r="384" spans="12:12">
      <c r="L384" s="50"/>
    </row>
    <row r="385" spans="12:12">
      <c r="L385" s="50"/>
    </row>
    <row r="386" spans="12:12">
      <c r="L386" s="50"/>
    </row>
    <row r="387" spans="12:12">
      <c r="L387" s="50"/>
    </row>
    <row r="388" spans="12:12">
      <c r="L388" s="50"/>
    </row>
    <row r="389" spans="12:12">
      <c r="L389" s="50"/>
    </row>
    <row r="390" spans="12:12">
      <c r="L390" s="50"/>
    </row>
    <row r="391" spans="12:12">
      <c r="L391" s="50"/>
    </row>
    <row r="392" spans="12:12">
      <c r="L392" s="50"/>
    </row>
    <row r="393" spans="12:12">
      <c r="L393" s="50"/>
    </row>
    <row r="394" spans="12:12">
      <c r="L394" s="50"/>
    </row>
    <row r="395" spans="12:12">
      <c r="L395" s="50"/>
    </row>
    <row r="396" spans="12:12">
      <c r="L396" s="50"/>
    </row>
    <row r="397" spans="12:12">
      <c r="L397" s="50"/>
    </row>
    <row r="398" spans="12:12">
      <c r="L398" s="50"/>
    </row>
    <row r="399" spans="12:12">
      <c r="L399" s="50"/>
    </row>
    <row r="400" spans="12:12">
      <c r="L400" s="50"/>
    </row>
    <row r="401" spans="12:12">
      <c r="L401" s="50"/>
    </row>
    <row r="402" spans="12:12">
      <c r="L402" s="50"/>
    </row>
    <row r="403" spans="12:12">
      <c r="L403" s="50"/>
    </row>
    <row r="404" spans="12:12">
      <c r="L404" s="50"/>
    </row>
    <row r="405" spans="12:12">
      <c r="L405" s="50"/>
    </row>
    <row r="406" spans="12:12">
      <c r="L406" s="50"/>
    </row>
    <row r="407" spans="12:12">
      <c r="L407" s="50"/>
    </row>
    <row r="408" spans="12:12">
      <c r="L408" s="50"/>
    </row>
    <row r="409" spans="12:12">
      <c r="L409" s="50"/>
    </row>
    <row r="410" spans="12:12">
      <c r="L410" s="50"/>
    </row>
    <row r="411" spans="12:12">
      <c r="L411" s="50"/>
    </row>
    <row r="412" spans="12:12">
      <c r="L412" s="50"/>
    </row>
    <row r="413" spans="12:12">
      <c r="L413" s="50"/>
    </row>
    <row r="414" spans="12:12">
      <c r="L414" s="50"/>
    </row>
    <row r="415" spans="12:12">
      <c r="L415" s="50"/>
    </row>
    <row r="416" spans="12:12">
      <c r="L416" s="50"/>
    </row>
    <row r="417" spans="12:12">
      <c r="L417" s="50"/>
    </row>
    <row r="418" spans="12:12">
      <c r="L418" s="50"/>
    </row>
    <row r="419" spans="12:12">
      <c r="L419" s="50"/>
    </row>
    <row r="420" spans="12:12">
      <c r="L420" s="50"/>
    </row>
    <row r="421" spans="12:12">
      <c r="L421" s="50"/>
    </row>
    <row r="422" spans="12:12">
      <c r="L422" s="50"/>
    </row>
    <row r="423" spans="12:12">
      <c r="L423" s="50"/>
    </row>
    <row r="424" spans="12:12">
      <c r="L424" s="50"/>
    </row>
    <row r="425" spans="12:12">
      <c r="L425" s="50"/>
    </row>
    <row r="426" spans="12:12">
      <c r="L426" s="50"/>
    </row>
    <row r="427" spans="12:12">
      <c r="L427" s="50"/>
    </row>
    <row r="428" spans="12:12">
      <c r="L428" s="50"/>
    </row>
    <row r="429" spans="12:12">
      <c r="L429" s="50"/>
    </row>
    <row r="430" spans="12:12">
      <c r="L430" s="50"/>
    </row>
    <row r="431" spans="12:12">
      <c r="L431" s="50"/>
    </row>
    <row r="432" spans="12:12">
      <c r="L432" s="50"/>
    </row>
    <row r="433" spans="12:12">
      <c r="L433" s="50"/>
    </row>
    <row r="434" spans="12:12">
      <c r="L434" s="50"/>
    </row>
    <row r="435" spans="12:12">
      <c r="L435" s="50"/>
    </row>
    <row r="436" spans="12:12">
      <c r="L436" s="50"/>
    </row>
    <row r="437" spans="12:12">
      <c r="L437" s="50"/>
    </row>
    <row r="438" spans="12:12">
      <c r="L438" s="50"/>
    </row>
    <row r="439" spans="12:12">
      <c r="L439" s="50"/>
    </row>
    <row r="440" spans="12:12">
      <c r="L440" s="50"/>
    </row>
    <row r="441" spans="12:12">
      <c r="L441" s="50"/>
    </row>
    <row r="442" spans="12:12">
      <c r="L442" s="50"/>
    </row>
    <row r="443" spans="12:12">
      <c r="L443" s="50"/>
    </row>
    <row r="444" spans="12:12">
      <c r="L444" s="50"/>
    </row>
    <row r="445" spans="12:12">
      <c r="L445" s="50"/>
    </row>
    <row r="446" spans="12:12">
      <c r="L446" s="50"/>
    </row>
    <row r="447" spans="12:12">
      <c r="L447" s="50"/>
    </row>
    <row r="448" spans="12:12">
      <c r="L448" s="50"/>
    </row>
    <row r="449" spans="12:12">
      <c r="L449" s="50"/>
    </row>
    <row r="450" spans="12:12">
      <c r="L450" s="50"/>
    </row>
    <row r="451" spans="12:12">
      <c r="L451" s="50"/>
    </row>
    <row r="452" spans="12:12">
      <c r="L452" s="50"/>
    </row>
    <row r="453" spans="12:12">
      <c r="L453" s="50"/>
    </row>
    <row r="454" spans="12:12">
      <c r="L454" s="50"/>
    </row>
    <row r="455" spans="12:12">
      <c r="L455" s="50"/>
    </row>
    <row r="456" spans="12:12">
      <c r="L456" s="50"/>
    </row>
    <row r="457" spans="12:12">
      <c r="L457" s="50"/>
    </row>
    <row r="458" spans="12:12">
      <c r="L458" s="50"/>
    </row>
    <row r="459" spans="12:12">
      <c r="L459" s="50"/>
    </row>
    <row r="460" spans="12:12">
      <c r="L460" s="50"/>
    </row>
    <row r="461" spans="12:12">
      <c r="L461" s="50"/>
    </row>
    <row r="462" spans="12:12">
      <c r="L462" s="50"/>
    </row>
    <row r="463" spans="12:12">
      <c r="L463" s="50"/>
    </row>
    <row r="464" spans="12:12">
      <c r="L464" s="50"/>
    </row>
    <row r="465" spans="12:12">
      <c r="L465" s="50"/>
    </row>
    <row r="466" spans="12:12">
      <c r="L466" s="50"/>
    </row>
    <row r="467" spans="12:12">
      <c r="L467" s="50"/>
    </row>
    <row r="468" spans="12:12">
      <c r="L468" s="50"/>
    </row>
    <row r="469" spans="12:12">
      <c r="L469" s="50"/>
    </row>
    <row r="470" spans="12:12">
      <c r="L470" s="50"/>
    </row>
    <row r="471" spans="12:12">
      <c r="L471" s="50"/>
    </row>
    <row r="472" spans="12:12">
      <c r="L472" s="50"/>
    </row>
    <row r="473" spans="12:12">
      <c r="L473" s="50"/>
    </row>
    <row r="474" spans="12:12">
      <c r="L474" s="50"/>
    </row>
    <row r="475" spans="12:12">
      <c r="L475" s="50"/>
    </row>
    <row r="476" spans="12:12">
      <c r="L476" s="50"/>
    </row>
    <row r="477" spans="12:12">
      <c r="L477" s="50"/>
    </row>
    <row r="478" spans="12:12">
      <c r="L478" s="50"/>
    </row>
    <row r="479" spans="12:12">
      <c r="L479" s="50"/>
    </row>
    <row r="480" spans="12:12">
      <c r="L480" s="50"/>
    </row>
    <row r="481" spans="12:12">
      <c r="L481" s="50"/>
    </row>
    <row r="482" spans="12:12">
      <c r="L482" s="50"/>
    </row>
    <row r="483" spans="12:12">
      <c r="L483" s="50"/>
    </row>
    <row r="484" spans="12:12">
      <c r="L484" s="50"/>
    </row>
    <row r="485" spans="12:12">
      <c r="L485" s="50"/>
    </row>
    <row r="486" spans="12:12">
      <c r="L486" s="50"/>
    </row>
    <row r="487" spans="12:12">
      <c r="L487" s="50"/>
    </row>
    <row r="488" spans="12:12">
      <c r="L488" s="50"/>
    </row>
    <row r="489" spans="12:12">
      <c r="L489" s="50"/>
    </row>
    <row r="490" spans="12:12">
      <c r="L490" s="50"/>
    </row>
    <row r="491" spans="12:12">
      <c r="L491" s="50"/>
    </row>
    <row r="492" spans="12:12">
      <c r="L492" s="50"/>
    </row>
    <row r="493" spans="12:12">
      <c r="L493" s="50"/>
    </row>
    <row r="494" spans="12:12">
      <c r="L494" s="50"/>
    </row>
    <row r="495" spans="12:12">
      <c r="L495" s="50"/>
    </row>
    <row r="496" spans="12:12">
      <c r="L496" s="50"/>
    </row>
    <row r="497" spans="12:12">
      <c r="L497" s="50"/>
    </row>
    <row r="498" spans="12:12">
      <c r="L498" s="50"/>
    </row>
    <row r="499" spans="12:12">
      <c r="L499" s="50"/>
    </row>
    <row r="500" spans="12:12">
      <c r="L500" s="50"/>
    </row>
    <row r="501" spans="12:12">
      <c r="L501" s="50"/>
    </row>
    <row r="502" spans="12:12">
      <c r="L502" s="50"/>
    </row>
    <row r="503" spans="12:12">
      <c r="L503" s="50"/>
    </row>
    <row r="504" spans="12:12">
      <c r="L504" s="50"/>
    </row>
    <row r="505" spans="12:12">
      <c r="L505" s="50"/>
    </row>
    <row r="506" spans="12:12">
      <c r="L506" s="50"/>
    </row>
    <row r="507" spans="12:12">
      <c r="L507" s="50"/>
    </row>
    <row r="508" spans="12:12">
      <c r="L508" s="50"/>
    </row>
    <row r="509" spans="12:12">
      <c r="L509" s="50"/>
    </row>
    <row r="510" spans="12:12">
      <c r="L510" s="50"/>
    </row>
    <row r="511" spans="12:12">
      <c r="L511" s="50"/>
    </row>
    <row r="512" spans="12:12">
      <c r="L512" s="50"/>
    </row>
    <row r="513" spans="12:12">
      <c r="L513" s="50"/>
    </row>
    <row r="514" spans="12:12">
      <c r="L514" s="50"/>
    </row>
    <row r="515" spans="12:12">
      <c r="L515" s="50"/>
    </row>
    <row r="516" spans="12:12">
      <c r="L516" s="50"/>
    </row>
    <row r="517" spans="12:12">
      <c r="L517" s="50"/>
    </row>
    <row r="518" spans="12:12">
      <c r="L518" s="50"/>
    </row>
    <row r="519" spans="12:12">
      <c r="L519" s="50"/>
    </row>
    <row r="520" spans="12:12">
      <c r="L520" s="50"/>
    </row>
    <row r="521" spans="12:12">
      <c r="L521" s="50"/>
    </row>
    <row r="522" spans="12:12">
      <c r="L522" s="50"/>
    </row>
    <row r="523" spans="12:12">
      <c r="L523" s="50"/>
    </row>
    <row r="524" spans="12:12">
      <c r="L524" s="50"/>
    </row>
    <row r="525" spans="12:12">
      <c r="L525" s="50"/>
    </row>
    <row r="526" spans="12:12">
      <c r="L526" s="50"/>
    </row>
    <row r="527" spans="12:12">
      <c r="L527" s="50"/>
    </row>
    <row r="528" spans="12:12">
      <c r="L528" s="50"/>
    </row>
    <row r="529" spans="12:12">
      <c r="L529" s="50"/>
    </row>
    <row r="530" spans="12:12">
      <c r="L530" s="50"/>
    </row>
    <row r="531" spans="12:12">
      <c r="L531" s="50"/>
    </row>
    <row r="532" spans="12:12">
      <c r="L532" s="50"/>
    </row>
    <row r="533" spans="12:12">
      <c r="L533" s="50"/>
    </row>
    <row r="534" spans="12:12">
      <c r="L534" s="50"/>
    </row>
    <row r="535" spans="12:12">
      <c r="L535" s="50"/>
    </row>
    <row r="536" spans="12:12">
      <c r="L536" s="50"/>
    </row>
    <row r="537" spans="12:12">
      <c r="L537" s="50"/>
    </row>
    <row r="538" spans="12:12">
      <c r="L538" s="50"/>
    </row>
    <row r="539" spans="12:12">
      <c r="L539" s="50"/>
    </row>
    <row r="540" spans="12:12">
      <c r="L540" s="50"/>
    </row>
    <row r="541" spans="12:12">
      <c r="L541" s="50"/>
    </row>
    <row r="542" spans="12:12">
      <c r="L542" s="50"/>
    </row>
    <row r="543" spans="12:12">
      <c r="L543" s="50"/>
    </row>
    <row r="544" spans="12:12">
      <c r="L544" s="50"/>
    </row>
    <row r="545" spans="12:12">
      <c r="L545" s="50"/>
    </row>
    <row r="546" spans="12:12">
      <c r="L546" s="50"/>
    </row>
    <row r="547" spans="12:12">
      <c r="L547" s="50"/>
    </row>
    <row r="548" spans="12:12">
      <c r="L548" s="50"/>
    </row>
    <row r="549" spans="12:12">
      <c r="L549" s="50"/>
    </row>
    <row r="550" spans="12:12">
      <c r="L550" s="50"/>
    </row>
    <row r="551" spans="12:12">
      <c r="L551" s="50"/>
    </row>
    <row r="552" spans="12:12">
      <c r="L552" s="50"/>
    </row>
    <row r="553" spans="12:12">
      <c r="L553" s="50"/>
    </row>
    <row r="554" spans="12:12">
      <c r="L554" s="50"/>
    </row>
    <row r="555" spans="12:12">
      <c r="L555" s="50"/>
    </row>
    <row r="556" spans="12:12">
      <c r="L556" s="50"/>
    </row>
    <row r="557" spans="12:12">
      <c r="L557" s="50"/>
    </row>
    <row r="558" spans="12:12">
      <c r="L558" s="50"/>
    </row>
    <row r="559" spans="12:12">
      <c r="L559" s="50"/>
    </row>
    <row r="560" spans="12:12">
      <c r="L560" s="50"/>
    </row>
    <row r="561" spans="12:12">
      <c r="L561" s="50"/>
    </row>
    <row r="562" spans="12:12">
      <c r="L562" s="50"/>
    </row>
    <row r="563" spans="12:12">
      <c r="L563" s="50"/>
    </row>
    <row r="564" spans="12:12">
      <c r="L564" s="50"/>
    </row>
    <row r="565" spans="12:12">
      <c r="L565" s="50"/>
    </row>
    <row r="566" spans="12:12">
      <c r="L566" s="50"/>
    </row>
    <row r="567" spans="12:12">
      <c r="L567" s="50"/>
    </row>
    <row r="568" spans="12:12">
      <c r="L568" s="50"/>
    </row>
    <row r="569" spans="12:12">
      <c r="L569" s="50"/>
    </row>
    <row r="570" spans="12:12">
      <c r="L570" s="50"/>
    </row>
    <row r="571" spans="12:12">
      <c r="L571" s="50"/>
    </row>
    <row r="572" spans="12:12">
      <c r="L572" s="50"/>
    </row>
    <row r="573" spans="12:12">
      <c r="L573" s="50"/>
    </row>
    <row r="574" spans="12:12">
      <c r="L574" s="50"/>
    </row>
    <row r="575" spans="12:12">
      <c r="L575" s="50"/>
    </row>
    <row r="576" spans="12:12">
      <c r="L576" s="50"/>
    </row>
    <row r="577" spans="12:12">
      <c r="L577" s="50"/>
    </row>
    <row r="578" spans="12:12">
      <c r="L578" s="50"/>
    </row>
    <row r="579" spans="12:12">
      <c r="L579" s="50"/>
    </row>
    <row r="580" spans="12:12">
      <c r="L580" s="50"/>
    </row>
    <row r="581" spans="12:12">
      <c r="L581" s="50"/>
    </row>
    <row r="582" spans="12:12">
      <c r="L582" s="50"/>
    </row>
    <row r="583" spans="12:12">
      <c r="L583" s="50"/>
    </row>
    <row r="584" spans="12:12">
      <c r="L584" s="50"/>
    </row>
    <row r="585" spans="12:12">
      <c r="L585" s="50"/>
    </row>
    <row r="586" spans="12:12">
      <c r="L586" s="50"/>
    </row>
    <row r="587" spans="12:12">
      <c r="L587" s="50"/>
    </row>
    <row r="588" spans="12:12">
      <c r="L588" s="50"/>
    </row>
    <row r="589" spans="12:12">
      <c r="L589" s="50"/>
    </row>
    <row r="590" spans="12:12">
      <c r="L590" s="50"/>
    </row>
    <row r="591" spans="12:12">
      <c r="L591" s="50"/>
    </row>
    <row r="592" spans="12:12">
      <c r="L592" s="50"/>
    </row>
    <row r="593" spans="12:12">
      <c r="L593" s="50"/>
    </row>
    <row r="594" spans="12:12">
      <c r="L594" s="50"/>
    </row>
    <row r="595" spans="12:12">
      <c r="L595" s="50"/>
    </row>
    <row r="596" spans="12:12">
      <c r="L596" s="50"/>
    </row>
    <row r="597" spans="12:12">
      <c r="L597" s="50"/>
    </row>
    <row r="598" spans="12:12">
      <c r="L598" s="50"/>
    </row>
    <row r="599" spans="12:12">
      <c r="L599" s="50"/>
    </row>
    <row r="600" spans="12:12">
      <c r="L600" s="50"/>
    </row>
    <row r="601" spans="12:12">
      <c r="L601" s="50"/>
    </row>
    <row r="602" spans="12:12">
      <c r="L602" s="50"/>
    </row>
    <row r="603" spans="12:12">
      <c r="L603" s="50"/>
    </row>
    <row r="604" spans="12:12">
      <c r="L604" s="50"/>
    </row>
    <row r="605" spans="12:12">
      <c r="L605" s="50"/>
    </row>
    <row r="606" spans="12:12">
      <c r="L606" s="50"/>
    </row>
    <row r="607" spans="12:12">
      <c r="L607" s="50"/>
    </row>
    <row r="608" spans="12:12">
      <c r="L608" s="50"/>
    </row>
    <row r="609" spans="12:12">
      <c r="L609" s="50"/>
    </row>
    <row r="610" spans="12:12">
      <c r="L610" s="50"/>
    </row>
    <row r="611" spans="12:12">
      <c r="L611" s="50"/>
    </row>
    <row r="612" spans="12:12">
      <c r="L612" s="50"/>
    </row>
    <row r="613" spans="12:12">
      <c r="L613" s="50"/>
    </row>
    <row r="614" spans="12:12">
      <c r="L614" s="50"/>
    </row>
    <row r="615" spans="12:12">
      <c r="L615" s="50"/>
    </row>
    <row r="616" spans="12:12">
      <c r="L616" s="50"/>
    </row>
    <row r="617" spans="12:12">
      <c r="L617" s="50"/>
    </row>
    <row r="618" spans="12:12">
      <c r="L618" s="50"/>
    </row>
    <row r="619" spans="12:12">
      <c r="L619" s="50"/>
    </row>
    <row r="620" spans="12:12">
      <c r="L620" s="50"/>
    </row>
    <row r="621" spans="12:12">
      <c r="L621" s="50"/>
    </row>
    <row r="622" spans="12:12">
      <c r="L622" s="50"/>
    </row>
    <row r="623" spans="12:12">
      <c r="L623" s="50"/>
    </row>
    <row r="624" spans="12:12">
      <c r="L624" s="50"/>
    </row>
    <row r="625" spans="12:12">
      <c r="L625" s="50"/>
    </row>
    <row r="626" spans="12:12">
      <c r="L626" s="50"/>
    </row>
    <row r="627" spans="12:12">
      <c r="L627" s="50"/>
    </row>
    <row r="628" spans="12:12">
      <c r="L628" s="50"/>
    </row>
    <row r="629" spans="12:12">
      <c r="L629" s="50"/>
    </row>
    <row r="630" spans="12:12">
      <c r="L630" s="50"/>
    </row>
    <row r="631" spans="12:12">
      <c r="L631" s="50"/>
    </row>
    <row r="632" spans="12:12">
      <c r="L632" s="50"/>
    </row>
    <row r="633" spans="12:12">
      <c r="L633" s="50"/>
    </row>
    <row r="634" spans="12:12">
      <c r="L634" s="50"/>
    </row>
    <row r="635" spans="12:12">
      <c r="L635" s="50"/>
    </row>
    <row r="636" spans="12:12">
      <c r="L636" s="50"/>
    </row>
    <row r="637" spans="12:12">
      <c r="L637" s="50"/>
    </row>
    <row r="638" spans="12:12">
      <c r="L638" s="50"/>
    </row>
    <row r="639" spans="12:12">
      <c r="L639" s="50"/>
    </row>
  </sheetData>
  <mergeCells count="1">
    <mergeCell ref="A16:B1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240A-62EC-4A67-B0E9-8AFD75845193}">
  <dimension ref="A2:W57"/>
  <sheetViews>
    <sheetView workbookViewId="0">
      <pane xSplit="2" ySplit="2" topLeftCell="C3" activePane="bottomRight" state="frozen"/>
      <selection activeCell="D17" sqref="D17"/>
      <selection pane="topRight" activeCell="D17" sqref="D17"/>
      <selection pane="bottomLeft" activeCell="D17" sqref="D17"/>
      <selection pane="bottomRight" activeCell="D17" sqref="D17"/>
    </sheetView>
  </sheetViews>
  <sheetFormatPr defaultColWidth="8.85546875" defaultRowHeight="12.75"/>
  <cols>
    <col min="1" max="1" width="4.85546875" style="1" customWidth="1"/>
    <col min="2" max="2" width="11.85546875" style="1" customWidth="1"/>
    <col min="3" max="3" width="12.42578125" style="19" customWidth="1"/>
    <col min="4" max="4" width="12.28515625" style="19" customWidth="1"/>
    <col min="5" max="5" width="15.7109375" style="19" hidden="1" customWidth="1"/>
    <col min="6" max="6" width="12" style="1" customWidth="1"/>
    <col min="7" max="7" width="13.7109375" style="350" customWidth="1"/>
    <col min="8" max="8" width="13.140625" style="1" bestFit="1" customWidth="1"/>
    <col min="9" max="10" width="11.85546875" style="1" customWidth="1"/>
    <col min="11" max="11" width="13.7109375" style="1" hidden="1" customWidth="1"/>
    <col min="12" max="12" width="13.7109375" style="350" hidden="1" customWidth="1"/>
    <col min="13" max="13" width="12.7109375" style="1" hidden="1" customWidth="1"/>
    <col min="14" max="14" width="10" style="1" hidden="1" customWidth="1"/>
    <col min="15" max="15" width="12.7109375" style="1" hidden="1" customWidth="1"/>
    <col min="16" max="16" width="7.5703125" style="1" hidden="1" customWidth="1"/>
    <col min="17" max="23" width="0" style="1" hidden="1" customWidth="1"/>
    <col min="24" max="16384" width="8.85546875" style="1"/>
  </cols>
  <sheetData>
    <row r="2" spans="1:23" s="577" customFormat="1">
      <c r="A2" s="576" t="s">
        <v>963</v>
      </c>
      <c r="B2" s="576" t="s">
        <v>964</v>
      </c>
      <c r="C2" s="560" t="s">
        <v>647</v>
      </c>
      <c r="D2" s="560" t="s">
        <v>646</v>
      </c>
      <c r="E2" s="560" t="s">
        <v>648</v>
      </c>
      <c r="F2" s="560" t="s">
        <v>619</v>
      </c>
      <c r="G2" s="561" t="s">
        <v>658</v>
      </c>
      <c r="H2" s="562" t="s">
        <v>649</v>
      </c>
      <c r="I2" s="562" t="s">
        <v>650</v>
      </c>
      <c r="J2" s="544"/>
      <c r="L2" s="578"/>
    </row>
    <row r="3" spans="1:23">
      <c r="A3" s="753">
        <v>1</v>
      </c>
      <c r="B3" s="165" t="s">
        <v>651</v>
      </c>
      <c r="C3" s="20">
        <v>660000</v>
      </c>
      <c r="D3" s="20">
        <f>C3*0.105</f>
        <v>69300</v>
      </c>
      <c r="E3" s="20">
        <f>C3-D3</f>
        <v>590700</v>
      </c>
      <c r="F3" s="20">
        <f>E3*0.1</f>
        <v>59070</v>
      </c>
      <c r="G3" s="360">
        <f>VLOOKUP(E3,$N$43:$P$49,3)</f>
        <v>18000</v>
      </c>
      <c r="H3" s="20">
        <f>C3*0.105</f>
        <v>69300</v>
      </c>
      <c r="I3" s="20">
        <f>+D3+H3</f>
        <v>138600</v>
      </c>
      <c r="J3" s="19"/>
      <c r="K3" s="563">
        <f>+C3-D3-F3+G3</f>
        <v>549630</v>
      </c>
      <c r="M3" s="563">
        <f>+K3-L3</f>
        <v>549630</v>
      </c>
      <c r="N3" s="1">
        <v>1</v>
      </c>
      <c r="O3" s="1">
        <v>1292475</v>
      </c>
      <c r="P3" s="1">
        <v>1899845.45</v>
      </c>
      <c r="Q3" s="1">
        <v>1113795.07</v>
      </c>
      <c r="R3" s="1">
        <v>718344.07</v>
      </c>
      <c r="S3" s="1">
        <v>718344</v>
      </c>
      <c r="T3" s="1">
        <v>718344</v>
      </c>
      <c r="U3" s="1">
        <v>718344</v>
      </c>
      <c r="V3" s="1">
        <v>687112</v>
      </c>
      <c r="W3" s="1">
        <v>718344</v>
      </c>
    </row>
    <row r="4" spans="1:23">
      <c r="A4" s="753"/>
      <c r="B4" s="165" t="s">
        <v>645</v>
      </c>
      <c r="C4" s="20">
        <v>2045744</v>
      </c>
      <c r="D4" s="20">
        <f>C4*0.093</f>
        <v>190254.19200000001</v>
      </c>
      <c r="E4" s="20">
        <f>C4-D4</f>
        <v>1855489.808</v>
      </c>
      <c r="F4" s="20"/>
      <c r="G4" s="360"/>
      <c r="H4" s="20">
        <f>+C4*0.1</f>
        <v>204574.40000000002</v>
      </c>
      <c r="I4" s="20">
        <f>+D4+H4</f>
        <v>394828.59200000006</v>
      </c>
      <c r="J4" s="19"/>
      <c r="K4" s="563">
        <f t="shared" ref="K4:K39" si="0">+C4-D4-F4+G4</f>
        <v>1855489.808</v>
      </c>
      <c r="L4" s="365">
        <f>675000+1180490.42</f>
        <v>1855490.42</v>
      </c>
      <c r="M4" s="563">
        <f t="shared" ref="M4:M38" si="1">+K4-L4</f>
        <v>-0.61199999996460974</v>
      </c>
    </row>
    <row r="5" spans="1:23">
      <c r="A5" s="119"/>
      <c r="B5" s="165"/>
      <c r="C5" s="547">
        <f>SUM(C3:C4)</f>
        <v>2705744</v>
      </c>
      <c r="D5" s="547">
        <f>SUM(D3:D4)</f>
        <v>259554.19200000001</v>
      </c>
      <c r="E5" s="547">
        <f>SUM(E3:E4)</f>
        <v>2446189.8080000002</v>
      </c>
      <c r="F5" s="547">
        <f t="shared" ref="F5:I5" si="2">SUM(F3:F4)</f>
        <v>59070</v>
      </c>
      <c r="G5" s="548">
        <f>SUM(G3:G4)</f>
        <v>18000</v>
      </c>
      <c r="H5" s="547">
        <f t="shared" si="2"/>
        <v>273874.40000000002</v>
      </c>
      <c r="I5" s="547">
        <f t="shared" si="2"/>
        <v>533428.59200000006</v>
      </c>
      <c r="J5" s="549"/>
      <c r="K5" s="564">
        <f t="shared" si="0"/>
        <v>2405119.8080000002</v>
      </c>
      <c r="M5" s="563"/>
      <c r="O5" s="1">
        <v>1156425</v>
      </c>
    </row>
    <row r="6" spans="1:23">
      <c r="A6" s="782">
        <v>2</v>
      </c>
      <c r="B6" s="550" t="s">
        <v>651</v>
      </c>
      <c r="C6" s="565">
        <v>660000</v>
      </c>
      <c r="D6" s="565">
        <f>C6*0.105</f>
        <v>69300</v>
      </c>
      <c r="E6" s="565">
        <f>C6-D6</f>
        <v>590700</v>
      </c>
      <c r="F6" s="565">
        <f>E6*0.1</f>
        <v>59070</v>
      </c>
      <c r="G6" s="360">
        <f>VLOOKUP(E6,$N$43:$P$49,3)</f>
        <v>18000</v>
      </c>
      <c r="H6" s="565">
        <f>C6*0.105</f>
        <v>69300</v>
      </c>
      <c r="I6" s="565">
        <f>+D6+H6</f>
        <v>138600</v>
      </c>
      <c r="J6" s="551"/>
      <c r="K6" s="563">
        <f t="shared" si="0"/>
        <v>549630</v>
      </c>
      <c r="M6" s="563">
        <f t="shared" si="1"/>
        <v>549630</v>
      </c>
      <c r="N6" s="1">
        <v>2</v>
      </c>
    </row>
    <row r="7" spans="1:23">
      <c r="A7" s="782"/>
      <c r="B7" s="550" t="s">
        <v>645</v>
      </c>
      <c r="C7" s="565">
        <v>1275000</v>
      </c>
      <c r="D7" s="565">
        <f>C7*0.093</f>
        <v>118575</v>
      </c>
      <c r="E7" s="565">
        <f>C7-D7</f>
        <v>1156425</v>
      </c>
      <c r="F7" s="565"/>
      <c r="G7" s="566"/>
      <c r="H7" s="565">
        <f>+C7*0.1</f>
        <v>127500</v>
      </c>
      <c r="I7" s="565">
        <f>+D7+H7</f>
        <v>246075</v>
      </c>
      <c r="J7" s="551"/>
      <c r="K7" s="563">
        <f t="shared" si="0"/>
        <v>1156425</v>
      </c>
      <c r="L7" s="350">
        <v>1156425</v>
      </c>
      <c r="M7" s="563">
        <f t="shared" si="1"/>
        <v>0</v>
      </c>
    </row>
    <row r="8" spans="1:23">
      <c r="A8" s="119"/>
      <c r="B8" s="165"/>
      <c r="C8" s="547">
        <f>SUM(C6:C7)</f>
        <v>1935000</v>
      </c>
      <c r="D8" s="547">
        <f>SUM(D6:D7)</f>
        <v>187875</v>
      </c>
      <c r="E8" s="547">
        <f>SUM(E6:E7)</f>
        <v>1747125</v>
      </c>
      <c r="F8" s="547">
        <f t="shared" ref="F8:H8" si="3">SUM(F6:F7)</f>
        <v>59070</v>
      </c>
      <c r="G8" s="548">
        <f>SUM(G6:G7)</f>
        <v>18000</v>
      </c>
      <c r="H8" s="547">
        <f t="shared" si="3"/>
        <v>196800</v>
      </c>
      <c r="I8" s="547">
        <f>SUM(I6:I7)</f>
        <v>384675</v>
      </c>
      <c r="J8" s="549"/>
      <c r="K8" s="564">
        <f t="shared" si="0"/>
        <v>1706055</v>
      </c>
      <c r="M8" s="563"/>
    </row>
    <row r="9" spans="1:23">
      <c r="A9" s="753">
        <v>3</v>
      </c>
      <c r="B9" s="165" t="s">
        <v>651</v>
      </c>
      <c r="C9" s="20">
        <v>660000</v>
      </c>
      <c r="D9" s="20">
        <f>+C9*0.105</f>
        <v>69300</v>
      </c>
      <c r="E9" s="20">
        <f>C9-D9</f>
        <v>590700</v>
      </c>
      <c r="F9" s="20">
        <f>E9*0.1</f>
        <v>59070</v>
      </c>
      <c r="G9" s="360">
        <f>VLOOKUP(E9,$N$43:$P$49,3)</f>
        <v>18000</v>
      </c>
      <c r="H9" s="20">
        <f>C9*0.105</f>
        <v>69300</v>
      </c>
      <c r="I9" s="20">
        <f>+D9+H9</f>
        <v>138600</v>
      </c>
      <c r="J9" s="551"/>
      <c r="K9" s="563">
        <f t="shared" si="0"/>
        <v>549630</v>
      </c>
      <c r="M9" s="563">
        <f t="shared" si="1"/>
        <v>549630</v>
      </c>
      <c r="N9" s="1">
        <v>3</v>
      </c>
    </row>
    <row r="10" spans="1:23">
      <c r="A10" s="753"/>
      <c r="B10" s="165" t="s">
        <v>645</v>
      </c>
      <c r="C10" s="20">
        <v>1425000</v>
      </c>
      <c r="D10" s="20">
        <f>+C10*0.093</f>
        <v>132525</v>
      </c>
      <c r="E10" s="20">
        <f>C10-D10</f>
        <v>1292475</v>
      </c>
      <c r="F10" s="20"/>
      <c r="G10" s="360"/>
      <c r="H10" s="20">
        <f>+C10*0.1</f>
        <v>142500</v>
      </c>
      <c r="I10" s="20">
        <f>+D10+H10</f>
        <v>275025</v>
      </c>
      <c r="J10" s="551"/>
      <c r="K10" s="563">
        <f t="shared" si="0"/>
        <v>1292475</v>
      </c>
      <c r="L10" s="365">
        <v>1292475</v>
      </c>
      <c r="M10" s="563">
        <f t="shared" si="1"/>
        <v>0</v>
      </c>
    </row>
    <row r="11" spans="1:23">
      <c r="A11" s="119"/>
      <c r="B11" s="165"/>
      <c r="C11" s="547">
        <f>SUM(C9:C10)</f>
        <v>2085000</v>
      </c>
      <c r="D11" s="547">
        <f>SUM(D9:D10)</f>
        <v>201825</v>
      </c>
      <c r="E11" s="547">
        <f>SUM(E9:E10)</f>
        <v>1883175</v>
      </c>
      <c r="F11" s="547">
        <f t="shared" ref="F11:I11" si="4">SUM(F9:F10)</f>
        <v>59070</v>
      </c>
      <c r="G11" s="548">
        <f>SUM(G9:G10)</f>
        <v>18000</v>
      </c>
      <c r="H11" s="547">
        <f t="shared" si="4"/>
        <v>211800</v>
      </c>
      <c r="I11" s="547">
        <f t="shared" si="4"/>
        <v>413625</v>
      </c>
      <c r="J11" s="549">
        <f>+I11+I8+I5</f>
        <v>1331728.5920000002</v>
      </c>
      <c r="K11" s="564">
        <f t="shared" si="0"/>
        <v>1842105</v>
      </c>
      <c r="M11" s="563"/>
    </row>
    <row r="12" spans="1:23">
      <c r="A12" s="782">
        <v>4</v>
      </c>
      <c r="B12" s="550" t="s">
        <v>651</v>
      </c>
      <c r="C12" s="565">
        <v>792000</v>
      </c>
      <c r="D12" s="565">
        <f>+C12*0.105</f>
        <v>83160</v>
      </c>
      <c r="E12" s="565">
        <f>C12-D12</f>
        <v>708840</v>
      </c>
      <c r="F12" s="565">
        <f>E12*0.1</f>
        <v>70884</v>
      </c>
      <c r="G12" s="360">
        <f>VLOOKUP(E12,$N$43:$P$49,3)</f>
        <v>18000</v>
      </c>
      <c r="H12" s="565">
        <f>C12*0.105</f>
        <v>83160</v>
      </c>
      <c r="I12" s="565">
        <f>+D12+H12</f>
        <v>166320</v>
      </c>
      <c r="J12" s="551"/>
      <c r="K12" s="563">
        <f t="shared" si="0"/>
        <v>655956</v>
      </c>
      <c r="M12" s="563">
        <f t="shared" si="1"/>
        <v>655956</v>
      </c>
      <c r="N12" s="1">
        <v>4</v>
      </c>
    </row>
    <row r="13" spans="1:23">
      <c r="A13" s="782"/>
      <c r="B13" s="550" t="s">
        <v>645</v>
      </c>
      <c r="C13" s="565">
        <v>1500000</v>
      </c>
      <c r="D13" s="565">
        <f>+C13*0.093</f>
        <v>139500</v>
      </c>
      <c r="E13" s="565">
        <f>C13-D13</f>
        <v>1360500</v>
      </c>
      <c r="F13" s="565"/>
      <c r="G13" s="566"/>
      <c r="H13" s="565">
        <f>+C13*0.1</f>
        <v>150000</v>
      </c>
      <c r="I13" s="565">
        <f t="shared" ref="I13:I14" si="5">+D13+H13</f>
        <v>289500</v>
      </c>
      <c r="J13" s="551"/>
      <c r="K13" s="563">
        <f t="shared" si="0"/>
        <v>1360500</v>
      </c>
      <c r="L13" s="350">
        <v>1360500</v>
      </c>
      <c r="M13" s="563">
        <f t="shared" si="1"/>
        <v>0</v>
      </c>
    </row>
    <row r="14" spans="1:23">
      <c r="A14" s="782"/>
      <c r="B14" s="550" t="s">
        <v>652</v>
      </c>
      <c r="C14" s="565">
        <v>654545.44999999995</v>
      </c>
      <c r="D14" s="565">
        <f>+C14*0.115</f>
        <v>75272.726750000002</v>
      </c>
      <c r="E14" s="565">
        <f t="shared" ref="E14" si="6">C14-D14</f>
        <v>579272.72324999992</v>
      </c>
      <c r="F14" s="565">
        <f>E14*0.1</f>
        <v>57927.272324999998</v>
      </c>
      <c r="G14" s="360">
        <f>VLOOKUP(E14,$N$43:$P$49,3)</f>
        <v>18000</v>
      </c>
      <c r="H14" s="565">
        <f>C14*0.125</f>
        <v>81818.181249999994</v>
      </c>
      <c r="I14" s="565">
        <f t="shared" si="5"/>
        <v>157090.908</v>
      </c>
      <c r="J14" s="551">
        <f>+D14-F14</f>
        <v>17345.454425000004</v>
      </c>
      <c r="K14" s="563">
        <f t="shared" si="0"/>
        <v>539345.4509249999</v>
      </c>
      <c r="L14" s="350">
        <v>539345.5</v>
      </c>
      <c r="M14" s="563">
        <f t="shared" si="1"/>
        <v>-4.9075000104494393E-2</v>
      </c>
    </row>
    <row r="15" spans="1:23">
      <c r="A15" s="119"/>
      <c r="B15" s="165"/>
      <c r="C15" s="547">
        <f>SUM(C12:C14)</f>
        <v>2946545.45</v>
      </c>
      <c r="D15" s="547">
        <f>SUM(D12:D14)</f>
        <v>297932.72675000003</v>
      </c>
      <c r="E15" s="547">
        <f>SUM(E12:E14)</f>
        <v>2648612.7232499998</v>
      </c>
      <c r="F15" s="547">
        <f>SUM(F12:F14)</f>
        <v>128811.272325</v>
      </c>
      <c r="G15" s="548">
        <f>SUM(G12:G14)</f>
        <v>36000</v>
      </c>
      <c r="H15" s="547">
        <f t="shared" ref="H15" si="7">SUM(H12:H14)</f>
        <v>314978.18125000002</v>
      </c>
      <c r="I15" s="547">
        <f>SUM(I12:I14)</f>
        <v>612910.90800000005</v>
      </c>
      <c r="J15" s="549"/>
      <c r="K15" s="564">
        <f t="shared" si="0"/>
        <v>2555801.4509250005</v>
      </c>
      <c r="M15" s="563"/>
    </row>
    <row r="16" spans="1:23">
      <c r="A16" s="753">
        <v>5</v>
      </c>
      <c r="B16" s="165" t="s">
        <v>645</v>
      </c>
      <c r="C16" s="20">
        <v>1227999</v>
      </c>
      <c r="D16" s="20">
        <f>+C16*0.093</f>
        <v>114203.90699999999</v>
      </c>
      <c r="E16" s="20">
        <f>C16-D16</f>
        <v>1113795.0930000001</v>
      </c>
      <c r="F16" s="20"/>
      <c r="G16" s="360"/>
      <c r="H16" s="20">
        <f>+C16*0.1</f>
        <v>122799.90000000001</v>
      </c>
      <c r="I16" s="20">
        <f>+D16+H16</f>
        <v>237003.807</v>
      </c>
      <c r="J16" s="551"/>
      <c r="K16" s="563">
        <f t="shared" si="0"/>
        <v>1113795.0930000001</v>
      </c>
      <c r="L16" s="366">
        <v>1113795.07</v>
      </c>
      <c r="M16" s="563">
        <f t="shared" si="1"/>
        <v>2.3000000044703484E-2</v>
      </c>
    </row>
    <row r="17" spans="1:14">
      <c r="A17" s="753"/>
      <c r="B17" s="165" t="s">
        <v>651</v>
      </c>
      <c r="C17" s="20">
        <v>792000</v>
      </c>
      <c r="D17" s="20">
        <f>+C17*0.105</f>
        <v>83160</v>
      </c>
      <c r="E17" s="20">
        <f t="shared" ref="E17" si="8">C17-D17</f>
        <v>708840</v>
      </c>
      <c r="F17" s="20">
        <f>E17*0.1</f>
        <v>70884</v>
      </c>
      <c r="G17" s="360">
        <f>VLOOKUP(E17,$N$43:$P$49,3)</f>
        <v>18000</v>
      </c>
      <c r="H17" s="20">
        <f>C17*0.105</f>
        <v>83160</v>
      </c>
      <c r="I17" s="20">
        <f>+D17+H17</f>
        <v>166320</v>
      </c>
      <c r="J17" s="551">
        <v>403324</v>
      </c>
      <c r="K17" s="563">
        <f t="shared" si="0"/>
        <v>655956</v>
      </c>
      <c r="M17" s="563">
        <f t="shared" si="1"/>
        <v>655956</v>
      </c>
      <c r="N17" s="1">
        <v>5</v>
      </c>
    </row>
    <row r="18" spans="1:14">
      <c r="A18" s="119"/>
      <c r="B18" s="165"/>
      <c r="C18" s="547">
        <f>SUM(C16:C17)</f>
        <v>2019999</v>
      </c>
      <c r="D18" s="547">
        <f>SUM(D16:D17)</f>
        <v>197363.90700000001</v>
      </c>
      <c r="E18" s="547">
        <f>SUM(E16:E17)</f>
        <v>1822635.0930000001</v>
      </c>
      <c r="F18" s="547">
        <f>SUM(F16:F17)</f>
        <v>70884</v>
      </c>
      <c r="G18" s="548">
        <f>SUM(G16:G17)</f>
        <v>18000</v>
      </c>
      <c r="H18" s="547">
        <f t="shared" ref="H18" si="9">SUM(H16:H17)</f>
        <v>205959.90000000002</v>
      </c>
      <c r="I18" s="547">
        <f>SUM(I16:I17)</f>
        <v>403323.80700000003</v>
      </c>
      <c r="J18" s="549"/>
      <c r="K18" s="564">
        <f t="shared" si="0"/>
        <v>1769751.0929999999</v>
      </c>
      <c r="M18" s="563"/>
    </row>
    <row r="19" spans="1:14">
      <c r="A19" s="783">
        <v>6</v>
      </c>
      <c r="B19" s="550" t="s">
        <v>645</v>
      </c>
      <c r="C19" s="565">
        <v>792000</v>
      </c>
      <c r="D19" s="565">
        <f>+C19*0.093</f>
        <v>73656</v>
      </c>
      <c r="E19" s="565">
        <f>C19-D19</f>
        <v>718344</v>
      </c>
      <c r="F19" s="565"/>
      <c r="G19" s="566"/>
      <c r="H19" s="565">
        <f>+C19*0.1</f>
        <v>79200</v>
      </c>
      <c r="I19" s="565">
        <f>+D19+H19</f>
        <v>152856</v>
      </c>
      <c r="J19" s="551"/>
      <c r="K19" s="563">
        <f t="shared" si="0"/>
        <v>718344</v>
      </c>
      <c r="L19" s="366">
        <v>718344.07</v>
      </c>
      <c r="M19" s="563">
        <f t="shared" si="1"/>
        <v>-6.9999999948777258E-2</v>
      </c>
    </row>
    <row r="20" spans="1:14">
      <c r="A20" s="783"/>
      <c r="B20" s="550" t="s">
        <v>651</v>
      </c>
      <c r="C20" s="565">
        <v>792000</v>
      </c>
      <c r="D20" s="565">
        <f>+C20*0.105</f>
        <v>83160</v>
      </c>
      <c r="E20" s="565">
        <f>C20-D20</f>
        <v>708840</v>
      </c>
      <c r="F20" s="565">
        <f>E20*0.1</f>
        <v>70884</v>
      </c>
      <c r="G20" s="360">
        <f>VLOOKUP(E20,$N$43:$P$49,3)</f>
        <v>18000</v>
      </c>
      <c r="H20" s="565">
        <f>+C20*0.105</f>
        <v>83160</v>
      </c>
      <c r="I20" s="565">
        <f t="shared" ref="I20:I29" si="10">+D20+H20</f>
        <v>166320</v>
      </c>
      <c r="J20" s="551">
        <v>319176</v>
      </c>
      <c r="K20" s="563">
        <f t="shared" si="0"/>
        <v>655956</v>
      </c>
      <c r="M20" s="563">
        <f t="shared" si="1"/>
        <v>655956</v>
      </c>
      <c r="N20" s="1">
        <v>6</v>
      </c>
    </row>
    <row r="21" spans="1:14">
      <c r="A21" s="2"/>
      <c r="B21" s="2"/>
      <c r="C21" s="547">
        <f>SUM(C19:C20)</f>
        <v>1584000</v>
      </c>
      <c r="D21" s="547">
        <f>SUM(D19:D20)</f>
        <v>156816</v>
      </c>
      <c r="E21" s="547">
        <f>SUM(E19:E20)</f>
        <v>1427184</v>
      </c>
      <c r="F21" s="547">
        <f>SUM(F19:F20)</f>
        <v>70884</v>
      </c>
      <c r="G21" s="548">
        <f>SUM(G19:G20)</f>
        <v>18000</v>
      </c>
      <c r="H21" s="547">
        <f t="shared" ref="H21:I21" si="11">SUM(H19:H20)</f>
        <v>162360</v>
      </c>
      <c r="I21" s="547">
        <f t="shared" si="11"/>
        <v>319176</v>
      </c>
      <c r="J21" s="549"/>
      <c r="K21" s="564">
        <f t="shared" si="0"/>
        <v>1374300</v>
      </c>
      <c r="M21" s="563"/>
    </row>
    <row r="22" spans="1:14">
      <c r="A22" s="753">
        <v>7</v>
      </c>
      <c r="B22" s="165" t="s">
        <v>651</v>
      </c>
      <c r="C22" s="167">
        <v>792000</v>
      </c>
      <c r="D22" s="167">
        <v>83160</v>
      </c>
      <c r="E22" s="567">
        <f t="shared" ref="E22:E26" si="12">C22-D22</f>
        <v>708840</v>
      </c>
      <c r="F22" s="567">
        <f t="shared" ref="F22:F28" si="13">E22*0.1</f>
        <v>70884</v>
      </c>
      <c r="G22" s="568">
        <f>VLOOKUP(E22,$N$43:$P$49,3)</f>
        <v>18000</v>
      </c>
      <c r="H22" s="567">
        <f>+C22*0.105</f>
        <v>83160</v>
      </c>
      <c r="I22" s="567">
        <f t="shared" si="10"/>
        <v>166320</v>
      </c>
      <c r="J22" s="551"/>
      <c r="K22" s="563">
        <f t="shared" si="0"/>
        <v>655956</v>
      </c>
      <c r="M22" s="563">
        <f t="shared" si="1"/>
        <v>655956</v>
      </c>
      <c r="N22" s="1">
        <v>7</v>
      </c>
    </row>
    <row r="23" spans="1:14">
      <c r="A23" s="753"/>
      <c r="B23" s="569" t="s">
        <v>645</v>
      </c>
      <c r="C23" s="167">
        <v>792000</v>
      </c>
      <c r="D23" s="167">
        <v>73656</v>
      </c>
      <c r="E23" s="567">
        <f t="shared" si="12"/>
        <v>718344</v>
      </c>
      <c r="F23" s="567"/>
      <c r="G23" s="168"/>
      <c r="H23" s="567">
        <f t="shared" ref="H23:H26" si="14">+C23*0.1</f>
        <v>79200</v>
      </c>
      <c r="I23" s="567">
        <f t="shared" si="10"/>
        <v>152856</v>
      </c>
      <c r="J23" s="551"/>
      <c r="K23" s="563">
        <f t="shared" si="0"/>
        <v>718344</v>
      </c>
      <c r="L23" s="570">
        <v>718344</v>
      </c>
      <c r="M23" s="563">
        <f t="shared" si="1"/>
        <v>0</v>
      </c>
    </row>
    <row r="24" spans="1:14">
      <c r="A24" s="2"/>
      <c r="B24" s="2"/>
      <c r="C24" s="552">
        <f>SUM(C22:C23)</f>
        <v>1584000</v>
      </c>
      <c r="D24" s="552">
        <f t="shared" ref="D24:I24" si="15">SUM(D22:D23)</f>
        <v>156816</v>
      </c>
      <c r="E24" s="552">
        <f t="shared" si="15"/>
        <v>1427184</v>
      </c>
      <c r="F24" s="552">
        <f t="shared" si="15"/>
        <v>70884</v>
      </c>
      <c r="G24" s="553">
        <f>SUM(G22:G23)</f>
        <v>18000</v>
      </c>
      <c r="H24" s="552">
        <f t="shared" si="15"/>
        <v>162360</v>
      </c>
      <c r="I24" s="552">
        <f t="shared" si="15"/>
        <v>319176</v>
      </c>
      <c r="J24" s="549"/>
      <c r="K24" s="564">
        <f t="shared" si="0"/>
        <v>1374300</v>
      </c>
      <c r="M24" s="563"/>
    </row>
    <row r="25" spans="1:14">
      <c r="A25" s="753">
        <v>8</v>
      </c>
      <c r="B25" s="165" t="s">
        <v>651</v>
      </c>
      <c r="C25" s="167">
        <v>792000</v>
      </c>
      <c r="D25" s="167">
        <v>83160</v>
      </c>
      <c r="E25" s="567">
        <f t="shared" si="12"/>
        <v>708840</v>
      </c>
      <c r="F25" s="567">
        <f t="shared" si="13"/>
        <v>70884</v>
      </c>
      <c r="G25" s="568">
        <f>VLOOKUP(E25,$N$43:$P$49,3)</f>
        <v>18000</v>
      </c>
      <c r="H25" s="567">
        <f>+C25*0.105</f>
        <v>83160</v>
      </c>
      <c r="I25" s="567">
        <f t="shared" si="10"/>
        <v>166320</v>
      </c>
      <c r="J25" s="551"/>
      <c r="K25" s="563">
        <f t="shared" si="0"/>
        <v>655956</v>
      </c>
      <c r="M25" s="563">
        <f t="shared" si="1"/>
        <v>655956</v>
      </c>
      <c r="N25" s="1">
        <v>8</v>
      </c>
    </row>
    <row r="26" spans="1:14">
      <c r="A26" s="753"/>
      <c r="B26" s="569" t="s">
        <v>645</v>
      </c>
      <c r="C26" s="167">
        <v>792000</v>
      </c>
      <c r="D26" s="167">
        <v>73656</v>
      </c>
      <c r="E26" s="567">
        <f t="shared" si="12"/>
        <v>718344</v>
      </c>
      <c r="F26" s="567"/>
      <c r="G26" s="168"/>
      <c r="H26" s="567">
        <f t="shared" si="14"/>
        <v>79200</v>
      </c>
      <c r="I26" s="567">
        <f t="shared" si="10"/>
        <v>152856</v>
      </c>
      <c r="J26" s="551"/>
      <c r="K26" s="563">
        <f t="shared" si="0"/>
        <v>718344</v>
      </c>
      <c r="L26" s="366">
        <v>718344</v>
      </c>
      <c r="M26" s="563">
        <f t="shared" si="1"/>
        <v>0</v>
      </c>
    </row>
    <row r="27" spans="1:14">
      <c r="A27" s="2"/>
      <c r="B27" s="2"/>
      <c r="C27" s="552">
        <f>SUM(C25:C26)</f>
        <v>1584000</v>
      </c>
      <c r="D27" s="552">
        <f t="shared" ref="D27:I27" si="16">SUM(D25:D26)</f>
        <v>156816</v>
      </c>
      <c r="E27" s="552">
        <f t="shared" si="16"/>
        <v>1427184</v>
      </c>
      <c r="F27" s="552">
        <f t="shared" si="16"/>
        <v>70884</v>
      </c>
      <c r="G27" s="553">
        <f>SUM(G25:G26)</f>
        <v>18000</v>
      </c>
      <c r="H27" s="552">
        <f t="shared" si="16"/>
        <v>162360</v>
      </c>
      <c r="I27" s="552">
        <f t="shared" si="16"/>
        <v>319176</v>
      </c>
      <c r="J27" s="549"/>
      <c r="K27" s="564">
        <f t="shared" si="0"/>
        <v>1374300</v>
      </c>
      <c r="M27" s="563"/>
    </row>
    <row r="28" spans="1:14">
      <c r="A28" s="753">
        <v>9</v>
      </c>
      <c r="B28" s="165" t="s">
        <v>651</v>
      </c>
      <c r="C28" s="167">
        <v>792000</v>
      </c>
      <c r="D28" s="167">
        <v>83160</v>
      </c>
      <c r="E28" s="567">
        <f>C28-D28</f>
        <v>708840</v>
      </c>
      <c r="F28" s="567">
        <f t="shared" si="13"/>
        <v>70884</v>
      </c>
      <c r="G28" s="568">
        <f>VLOOKUP(E28,$N$43:$P$49,3)</f>
        <v>18000</v>
      </c>
      <c r="H28" s="567">
        <f>+C28*0.105</f>
        <v>83160</v>
      </c>
      <c r="I28" s="567">
        <f t="shared" si="10"/>
        <v>166320</v>
      </c>
      <c r="J28" s="554">
        <f>+D28/C28</f>
        <v>0.105</v>
      </c>
      <c r="K28" s="563">
        <f t="shared" si="0"/>
        <v>655956</v>
      </c>
      <c r="M28" s="563">
        <f t="shared" si="1"/>
        <v>655956</v>
      </c>
      <c r="N28" s="1">
        <v>9</v>
      </c>
    </row>
    <row r="29" spans="1:14">
      <c r="A29" s="753"/>
      <c r="B29" s="569" t="s">
        <v>645</v>
      </c>
      <c r="C29" s="167">
        <v>792000</v>
      </c>
      <c r="D29" s="167">
        <v>73656</v>
      </c>
      <c r="E29" s="567">
        <f>C29-D29</f>
        <v>718344</v>
      </c>
      <c r="F29" s="567"/>
      <c r="G29" s="168"/>
      <c r="H29" s="567">
        <f>C29*0.1</f>
        <v>79200</v>
      </c>
      <c r="I29" s="567">
        <f t="shared" si="10"/>
        <v>152856</v>
      </c>
      <c r="J29" s="551"/>
      <c r="K29" s="563">
        <f t="shared" si="0"/>
        <v>718344</v>
      </c>
      <c r="L29" s="366">
        <v>718344</v>
      </c>
      <c r="M29" s="563">
        <f t="shared" si="1"/>
        <v>0</v>
      </c>
    </row>
    <row r="30" spans="1:14">
      <c r="A30" s="2"/>
      <c r="B30" s="2"/>
      <c r="C30" s="547">
        <f>SUM(C28:C29)</f>
        <v>1584000</v>
      </c>
      <c r="D30" s="547">
        <f t="shared" ref="D30:E30" si="17">SUM(D28:D29)</f>
        <v>156816</v>
      </c>
      <c r="E30" s="547">
        <f t="shared" si="17"/>
        <v>1427184</v>
      </c>
      <c r="F30" s="547">
        <f>SUM(F28:F29)</f>
        <v>70884</v>
      </c>
      <c r="G30" s="548">
        <f>SUM(G28:G29)</f>
        <v>18000</v>
      </c>
      <c r="H30" s="547">
        <f t="shared" ref="H30" si="18">SUM(H28:H29)</f>
        <v>162360</v>
      </c>
      <c r="I30" s="547">
        <f>SUM(I28:I29)</f>
        <v>319176</v>
      </c>
      <c r="J30" s="549"/>
      <c r="K30" s="564">
        <f t="shared" si="0"/>
        <v>1374300</v>
      </c>
      <c r="M30" s="563"/>
    </row>
    <row r="31" spans="1:14">
      <c r="A31" s="753">
        <v>10</v>
      </c>
      <c r="B31" s="165" t="s">
        <v>651</v>
      </c>
      <c r="C31" s="167">
        <v>792000</v>
      </c>
      <c r="D31" s="167">
        <v>83160</v>
      </c>
      <c r="E31" s="567">
        <f>C31-D31</f>
        <v>708840</v>
      </c>
      <c r="F31" s="567">
        <f t="shared" ref="F31" si="19">E31*0.1</f>
        <v>70884</v>
      </c>
      <c r="G31" s="568">
        <f>VLOOKUP(E31,$N$43:$P$49,3)</f>
        <v>18000</v>
      </c>
      <c r="H31" s="567">
        <f>+C31*0.105</f>
        <v>83160</v>
      </c>
      <c r="I31" s="567">
        <f t="shared" ref="I31:I32" si="20">+D31+H31</f>
        <v>166320</v>
      </c>
      <c r="J31" s="554">
        <f>+D31/C31</f>
        <v>0.105</v>
      </c>
      <c r="K31" s="563">
        <f>+C31-D31-F31+G31</f>
        <v>655956</v>
      </c>
      <c r="M31" s="563">
        <f t="shared" si="1"/>
        <v>655956</v>
      </c>
      <c r="N31" s="1">
        <v>10</v>
      </c>
    </row>
    <row r="32" spans="1:14">
      <c r="A32" s="753"/>
      <c r="B32" s="569" t="s">
        <v>645</v>
      </c>
      <c r="C32" s="167">
        <v>792000</v>
      </c>
      <c r="D32" s="167">
        <v>73656</v>
      </c>
      <c r="E32" s="567">
        <f>C32-D32</f>
        <v>718344</v>
      </c>
      <c r="F32" s="567"/>
      <c r="G32" s="168"/>
      <c r="H32" s="567">
        <f>C32*0.1</f>
        <v>79200</v>
      </c>
      <c r="I32" s="567">
        <f t="shared" si="20"/>
        <v>152856</v>
      </c>
      <c r="J32" s="551"/>
      <c r="K32" s="563">
        <f t="shared" si="0"/>
        <v>718344</v>
      </c>
      <c r="L32" s="366">
        <v>687112</v>
      </c>
      <c r="M32" s="563">
        <f t="shared" si="1"/>
        <v>31232</v>
      </c>
      <c r="N32" s="1">
        <v>10</v>
      </c>
    </row>
    <row r="33" spans="1:16">
      <c r="A33" s="2"/>
      <c r="B33" s="2"/>
      <c r="C33" s="547">
        <f>SUM(C31:C32)</f>
        <v>1584000</v>
      </c>
      <c r="D33" s="547">
        <f t="shared" ref="D33:E33" si="21">SUM(D31:D32)</f>
        <v>156816</v>
      </c>
      <c r="E33" s="547">
        <f t="shared" si="21"/>
        <v>1427184</v>
      </c>
      <c r="F33" s="547">
        <f>SUM(F31:F32)</f>
        <v>70884</v>
      </c>
      <c r="G33" s="548">
        <f>SUM(G31:G32)</f>
        <v>18000</v>
      </c>
      <c r="H33" s="547">
        <f t="shared" ref="H33" si="22">SUM(H31:H32)</f>
        <v>162360</v>
      </c>
      <c r="I33" s="547">
        <f>SUM(I31:I32)</f>
        <v>319176</v>
      </c>
      <c r="J33" s="549"/>
      <c r="K33" s="564">
        <f t="shared" si="0"/>
        <v>1374300</v>
      </c>
      <c r="M33" s="563"/>
    </row>
    <row r="34" spans="1:16">
      <c r="A34" s="753">
        <v>11</v>
      </c>
      <c r="B34" s="165" t="s">
        <v>651</v>
      </c>
      <c r="C34" s="167">
        <v>792000</v>
      </c>
      <c r="D34" s="167">
        <v>83160</v>
      </c>
      <c r="E34" s="567">
        <f>C34-D34</f>
        <v>708840</v>
      </c>
      <c r="F34" s="567">
        <f t="shared" ref="F34" si="23">E34*0.1</f>
        <v>70884</v>
      </c>
      <c r="G34" s="568">
        <f>VLOOKUP(E34,$N$43:$P$49,3)</f>
        <v>18000</v>
      </c>
      <c r="H34" s="567">
        <f>+C34*0.105</f>
        <v>83160</v>
      </c>
      <c r="I34" s="567">
        <f t="shared" ref="I34:I35" si="24">+D34+H34</f>
        <v>166320</v>
      </c>
      <c r="J34" s="554">
        <f>+D34/C34</f>
        <v>0.105</v>
      </c>
      <c r="K34" s="563">
        <f t="shared" si="0"/>
        <v>655956</v>
      </c>
      <c r="M34" s="563">
        <f t="shared" si="1"/>
        <v>655956</v>
      </c>
      <c r="N34" s="1">
        <v>11</v>
      </c>
    </row>
    <row r="35" spans="1:16">
      <c r="A35" s="753"/>
      <c r="B35" s="569" t="s">
        <v>645</v>
      </c>
      <c r="C35" s="167">
        <v>792000</v>
      </c>
      <c r="D35" s="167">
        <v>73656</v>
      </c>
      <c r="E35" s="567">
        <f>C35-D35</f>
        <v>718344</v>
      </c>
      <c r="F35" s="567"/>
      <c r="G35" s="168"/>
      <c r="H35" s="567">
        <f>C35*0.1</f>
        <v>79200</v>
      </c>
      <c r="I35" s="567">
        <f t="shared" si="24"/>
        <v>152856</v>
      </c>
      <c r="J35" s="551"/>
      <c r="K35" s="563">
        <f t="shared" si="0"/>
        <v>718344</v>
      </c>
      <c r="L35" s="366">
        <v>718344</v>
      </c>
      <c r="M35" s="563">
        <f t="shared" si="1"/>
        <v>0</v>
      </c>
    </row>
    <row r="36" spans="1:16">
      <c r="A36" s="2"/>
      <c r="B36" s="2"/>
      <c r="C36" s="547">
        <f>SUM(C34:C35)</f>
        <v>1584000</v>
      </c>
      <c r="D36" s="547">
        <f t="shared" ref="D36:E36" si="25">SUM(D34:D35)</f>
        <v>156816</v>
      </c>
      <c r="E36" s="547">
        <f t="shared" si="25"/>
        <v>1427184</v>
      </c>
      <c r="F36" s="547">
        <f>SUM(F34:F35)</f>
        <v>70884</v>
      </c>
      <c r="G36" s="548">
        <f>SUM(G34:G35)</f>
        <v>18000</v>
      </c>
      <c r="H36" s="547">
        <f t="shared" ref="H36" si="26">SUM(H34:H35)</f>
        <v>162360</v>
      </c>
      <c r="I36" s="547">
        <f>SUM(I34:I35)</f>
        <v>319176</v>
      </c>
      <c r="J36" s="549"/>
      <c r="K36" s="564">
        <f t="shared" si="0"/>
        <v>1374300</v>
      </c>
      <c r="M36" s="563"/>
    </row>
    <row r="37" spans="1:16">
      <c r="A37" s="753">
        <v>12</v>
      </c>
      <c r="B37" s="165" t="s">
        <v>651</v>
      </c>
      <c r="C37" s="167">
        <v>792000</v>
      </c>
      <c r="D37" s="167">
        <v>83160</v>
      </c>
      <c r="E37" s="567">
        <f>C37-D37</f>
        <v>708840</v>
      </c>
      <c r="F37" s="567">
        <f>E37*0.1</f>
        <v>70884</v>
      </c>
      <c r="G37" s="568">
        <f>VLOOKUP(E37,$N$43:$P$49,3)</f>
        <v>18000</v>
      </c>
      <c r="H37" s="567">
        <f>+C37*0.105</f>
        <v>83160</v>
      </c>
      <c r="I37" s="567">
        <f t="shared" ref="I37:I38" si="27">+D37+H37</f>
        <v>166320</v>
      </c>
      <c r="J37" s="554">
        <f>+D37/C37</f>
        <v>0.105</v>
      </c>
      <c r="K37" s="563">
        <f t="shared" si="0"/>
        <v>655956</v>
      </c>
      <c r="M37" s="563">
        <f t="shared" si="1"/>
        <v>655956</v>
      </c>
      <c r="N37" s="1">
        <v>12</v>
      </c>
    </row>
    <row r="38" spans="1:16">
      <c r="A38" s="753"/>
      <c r="B38" s="569" t="s">
        <v>645</v>
      </c>
      <c r="C38" s="167">
        <v>792000</v>
      </c>
      <c r="D38" s="167">
        <v>73656</v>
      </c>
      <c r="E38" s="567">
        <f>C38-D38</f>
        <v>718344</v>
      </c>
      <c r="F38" s="567"/>
      <c r="G38" s="168"/>
      <c r="H38" s="567">
        <f>C38*0.1</f>
        <v>79200</v>
      </c>
      <c r="I38" s="567">
        <f t="shared" si="27"/>
        <v>152856</v>
      </c>
      <c r="J38" s="551"/>
      <c r="K38" s="563">
        <f t="shared" si="0"/>
        <v>718344</v>
      </c>
      <c r="L38" s="366">
        <v>718344</v>
      </c>
      <c r="M38" s="563">
        <f t="shared" si="1"/>
        <v>0</v>
      </c>
    </row>
    <row r="39" spans="1:16">
      <c r="A39" s="2"/>
      <c r="B39" s="2"/>
      <c r="C39" s="547">
        <f>SUM(C37:C38)</f>
        <v>1584000</v>
      </c>
      <c r="D39" s="547">
        <f t="shared" ref="D39:I39" si="28">SUM(D37:D38)</f>
        <v>156816</v>
      </c>
      <c r="E39" s="547">
        <f t="shared" si="28"/>
        <v>1427184</v>
      </c>
      <c r="F39" s="547">
        <f t="shared" si="28"/>
        <v>70884</v>
      </c>
      <c r="G39" s="547">
        <f t="shared" si="28"/>
        <v>18000</v>
      </c>
      <c r="H39" s="547">
        <f t="shared" si="28"/>
        <v>162360</v>
      </c>
      <c r="I39" s="547">
        <f t="shared" si="28"/>
        <v>319176</v>
      </c>
      <c r="J39" s="555"/>
      <c r="K39" s="564">
        <f t="shared" si="0"/>
        <v>1374300</v>
      </c>
      <c r="L39" s="350">
        <f>SUM(L4:L38)</f>
        <v>12315207.060000001</v>
      </c>
      <c r="M39" s="563">
        <f>SUM(M3:M38)</f>
        <v>7583725.291925</v>
      </c>
    </row>
    <row r="40" spans="1:16">
      <c r="A40" s="2"/>
      <c r="B40" s="2"/>
      <c r="C40" s="547">
        <f>SUM(C39,C36,C33,C30,C27,C24,C21,C18,C15,C11,C8,C5)</f>
        <v>22780288.449999999</v>
      </c>
      <c r="D40" s="547">
        <f t="shared" ref="D40:I40" si="29">SUM(D39,D36,D33,D30,D27,D24,D21,D18,D15,D11,D8,D5)</f>
        <v>2242262.8257499998</v>
      </c>
      <c r="E40" s="547">
        <f t="shared" si="29"/>
        <v>20538025.624250002</v>
      </c>
      <c r="F40" s="547">
        <f t="shared" si="29"/>
        <v>873093.27232500003</v>
      </c>
      <c r="G40" s="547">
        <f>SUM(G39,G36,G33,G30,G27,G24,G21,G18,G15,G11,G8,G5)</f>
        <v>234000</v>
      </c>
      <c r="H40" s="547">
        <f t="shared" si="29"/>
        <v>2339932.4812499997</v>
      </c>
      <c r="I40" s="547">
        <f t="shared" si="29"/>
        <v>4582195.307</v>
      </c>
      <c r="J40" s="555"/>
      <c r="K40" s="571">
        <f>+G53</f>
        <v>19898932.351925001</v>
      </c>
      <c r="L40" s="350">
        <f>+K40-L39</f>
        <v>7583725.291925</v>
      </c>
    </row>
    <row r="41" spans="1:16">
      <c r="F41" s="19"/>
      <c r="H41" s="19"/>
      <c r="I41" s="21"/>
    </row>
    <row r="42" spans="1:16" s="53" customFormat="1" ht="32.450000000000003" customHeight="1">
      <c r="B42" s="120"/>
      <c r="C42" s="545"/>
      <c r="D42" s="546" t="s">
        <v>654</v>
      </c>
      <c r="E42" s="545"/>
      <c r="F42" s="556" t="s">
        <v>655</v>
      </c>
      <c r="G42" s="557" t="s">
        <v>653</v>
      </c>
      <c r="H42" s="558" t="s">
        <v>657</v>
      </c>
      <c r="I42" s="558" t="s">
        <v>658</v>
      </c>
      <c r="J42" s="558" t="s">
        <v>656</v>
      </c>
      <c r="L42" s="572"/>
    </row>
    <row r="43" spans="1:16">
      <c r="A43" s="1">
        <v>1</v>
      </c>
      <c r="B43" s="165" t="str">
        <f>+B20</f>
        <v>Лии</v>
      </c>
      <c r="C43" s="20">
        <f>C3+C6+C9+C12+C17+C20+C22+C25+C28+C31+C34+C37</f>
        <v>9108000</v>
      </c>
      <c r="D43" s="20">
        <f>SUMIF($B$3:$B$38,B43,$D$3:$D$38)</f>
        <v>956340</v>
      </c>
      <c r="E43" s="20">
        <f>SUMIF($B$3:$B$38,B43,$E$3:$E$38)</f>
        <v>8151660</v>
      </c>
      <c r="F43" s="20">
        <f>SUMIF($B$3:$B$39,B43,$F$3:$F$39)</f>
        <v>815166</v>
      </c>
      <c r="G43" s="360">
        <f>C43-D43-J43</f>
        <v>7552494</v>
      </c>
      <c r="H43" s="20">
        <f>C43*0.105</f>
        <v>956340</v>
      </c>
      <c r="I43" s="20">
        <f>SUMIF($B$3:$B$38,B43,$G$3:$G$39)</f>
        <v>216000</v>
      </c>
      <c r="J43" s="20">
        <f>F43-I43</f>
        <v>599166</v>
      </c>
      <c r="K43" s="19">
        <f>+N43*12</f>
        <v>0</v>
      </c>
      <c r="L43" s="350">
        <f t="shared" ref="L43:M49" si="30">+O43*12</f>
        <v>6000000</v>
      </c>
      <c r="M43" s="19">
        <f t="shared" si="30"/>
        <v>240000</v>
      </c>
      <c r="N43" s="19">
        <v>0</v>
      </c>
      <c r="O43" s="19">
        <v>500000</v>
      </c>
      <c r="P43" s="19">
        <v>20000</v>
      </c>
    </row>
    <row r="44" spans="1:16">
      <c r="A44" s="1">
        <v>2</v>
      </c>
      <c r="B44" s="2" t="str">
        <f>+B14</f>
        <v>Ариунаа</v>
      </c>
      <c r="C44" s="20">
        <f>C14</f>
        <v>654545.44999999995</v>
      </c>
      <c r="D44" s="20">
        <f t="shared" ref="D44" si="31">SUMIF($B$3:$B$38,B44,$D$3:$D$38)</f>
        <v>75272.726750000002</v>
      </c>
      <c r="E44" s="20">
        <f t="shared" ref="E44:E45" si="32">SUMIF($B$3:$B$38,B44,$E$3:$E$38)</f>
        <v>579272.72324999992</v>
      </c>
      <c r="F44" s="20">
        <f t="shared" ref="F44:F45" si="33">SUMIF($B$3:$B$39,B44,$F$3:$F$39)</f>
        <v>57927.272324999998</v>
      </c>
      <c r="G44" s="360">
        <f t="shared" ref="G44:G45" si="34">C44-D44-J44</f>
        <v>539345.4509249999</v>
      </c>
      <c r="H44" s="20">
        <f>C44*0.125</f>
        <v>81818.181249999994</v>
      </c>
      <c r="I44" s="20">
        <f>SUMIF($B$3:$B$38,B44,$G$3:$G$39)</f>
        <v>18000</v>
      </c>
      <c r="J44" s="20">
        <f t="shared" ref="J44" si="35">+F44-I44</f>
        <v>39927.272324999998</v>
      </c>
      <c r="K44" s="19">
        <v>6000001</v>
      </c>
      <c r="L44" s="350">
        <f t="shared" si="30"/>
        <v>12000000</v>
      </c>
      <c r="M44" s="19">
        <f t="shared" si="30"/>
        <v>216000</v>
      </c>
      <c r="N44" s="19">
        <v>500001</v>
      </c>
      <c r="O44" s="19">
        <v>1000000</v>
      </c>
      <c r="P44" s="19">
        <v>18000</v>
      </c>
    </row>
    <row r="45" spans="1:16">
      <c r="A45" s="573">
        <v>3</v>
      </c>
      <c r="B45" s="559" t="s">
        <v>645</v>
      </c>
      <c r="C45" s="574">
        <f>C4+C7+C10+C13+C16+C19+C23+C26+C29+C32+C35+C38</f>
        <v>13017743</v>
      </c>
      <c r="D45" s="20">
        <f>SUMIF($B$3:$B$38,B45,$D$3:$D$38)</f>
        <v>1210650.0989999999</v>
      </c>
      <c r="E45" s="20">
        <f t="shared" si="32"/>
        <v>11807092.901000001</v>
      </c>
      <c r="F45" s="20">
        <f t="shared" si="33"/>
        <v>0</v>
      </c>
      <c r="G45" s="360">
        <f t="shared" si="34"/>
        <v>11807092.901000001</v>
      </c>
      <c r="H45" s="574">
        <f>C45*0.1</f>
        <v>1301774.3</v>
      </c>
      <c r="I45" s="20">
        <f t="shared" ref="I45" si="36">SUMIF($B$3:$B$38,B45,$G$3:$G$39)</f>
        <v>0</v>
      </c>
      <c r="J45" s="20">
        <f>+F45-I45</f>
        <v>0</v>
      </c>
      <c r="K45" s="19">
        <v>12000001</v>
      </c>
      <c r="L45" s="350">
        <f t="shared" si="30"/>
        <v>18000000</v>
      </c>
      <c r="M45" s="19">
        <f t="shared" si="30"/>
        <v>192000</v>
      </c>
      <c r="N45" s="19">
        <v>1000001</v>
      </c>
      <c r="O45" s="19">
        <v>1500000</v>
      </c>
      <c r="P45" s="19">
        <v>16000</v>
      </c>
    </row>
    <row r="46" spans="1:16">
      <c r="B46" s="2"/>
      <c r="C46" s="547">
        <f>SUM(C43:C45)</f>
        <v>22780288.449999999</v>
      </c>
      <c r="D46" s="547">
        <f t="shared" ref="D46:E46" si="37">SUM(D43:D45)</f>
        <v>2242262.8257499998</v>
      </c>
      <c r="E46" s="547">
        <f t="shared" si="37"/>
        <v>20538025.624250002</v>
      </c>
      <c r="F46" s="547">
        <f>SUM(F43:F45)</f>
        <v>873093.27232500003</v>
      </c>
      <c r="G46" s="548">
        <f>SUM(G43:G45)</f>
        <v>19898932.351925001</v>
      </c>
      <c r="H46" s="547">
        <f>SUM(H43:H45)</f>
        <v>2339932.4812500002</v>
      </c>
      <c r="I46" s="547">
        <f>SUM(I43:I45)</f>
        <v>234000</v>
      </c>
      <c r="J46" s="547">
        <f>SUM(J43:J45)</f>
        <v>639093.27232500003</v>
      </c>
      <c r="K46" s="19">
        <v>18000001</v>
      </c>
      <c r="L46" s="350">
        <f t="shared" si="30"/>
        <v>24000000</v>
      </c>
      <c r="M46" s="19">
        <f t="shared" si="30"/>
        <v>168000</v>
      </c>
      <c r="N46" s="19">
        <v>1500001</v>
      </c>
      <c r="O46" s="19">
        <v>2000000</v>
      </c>
      <c r="P46" s="19">
        <v>14000</v>
      </c>
    </row>
    <row r="47" spans="1:16">
      <c r="C47" s="19">
        <f>+C46-C40</f>
        <v>0</v>
      </c>
      <c r="D47" s="19">
        <f t="shared" ref="D47:E47" si="38">+D46-D40</f>
        <v>0</v>
      </c>
      <c r="E47" s="19">
        <f t="shared" si="38"/>
        <v>0</v>
      </c>
      <c r="K47" s="19">
        <v>24000001</v>
      </c>
      <c r="L47" s="350">
        <f t="shared" si="30"/>
        <v>30000000</v>
      </c>
      <c r="M47" s="19">
        <f t="shared" si="30"/>
        <v>144000</v>
      </c>
      <c r="N47" s="19">
        <v>2000001</v>
      </c>
      <c r="O47" s="19">
        <v>2500000</v>
      </c>
      <c r="P47" s="19">
        <v>12000</v>
      </c>
    </row>
    <row r="48" spans="1:16">
      <c r="K48" s="19">
        <v>30000001</v>
      </c>
      <c r="L48" s="350">
        <f t="shared" si="30"/>
        <v>36000000</v>
      </c>
      <c r="M48" s="19">
        <f t="shared" si="30"/>
        <v>120000</v>
      </c>
      <c r="N48" s="19">
        <v>2500001</v>
      </c>
      <c r="O48" s="19">
        <v>3000000</v>
      </c>
      <c r="P48" s="19">
        <v>10000</v>
      </c>
    </row>
    <row r="49" spans="4:16">
      <c r="D49" s="19">
        <f>+C43-D43</f>
        <v>8151660</v>
      </c>
      <c r="E49" s="19">
        <f>+D49*0.1</f>
        <v>815166</v>
      </c>
      <c r="K49" s="19">
        <v>36000001</v>
      </c>
      <c r="L49" s="350">
        <f t="shared" si="30"/>
        <v>0</v>
      </c>
      <c r="M49" s="19">
        <f t="shared" si="30"/>
        <v>0</v>
      </c>
      <c r="N49" s="19">
        <v>3000001</v>
      </c>
      <c r="O49" s="1">
        <v>0</v>
      </c>
      <c r="P49" s="1">
        <v>0</v>
      </c>
    </row>
    <row r="50" spans="4:16">
      <c r="F50" s="72" t="s">
        <v>1</v>
      </c>
      <c r="G50" s="575" t="s">
        <v>0</v>
      </c>
    </row>
    <row r="51" spans="4:16">
      <c r="D51" s="19" t="s">
        <v>384</v>
      </c>
      <c r="G51" s="350">
        <f>D46+H46</f>
        <v>4582195.307</v>
      </c>
    </row>
    <row r="52" spans="4:16">
      <c r="D52" s="19" t="s">
        <v>385</v>
      </c>
      <c r="G52" s="350">
        <f>+J46</f>
        <v>639093.27232500003</v>
      </c>
    </row>
    <row r="53" spans="4:16">
      <c r="D53" s="19" t="s">
        <v>7</v>
      </c>
      <c r="G53" s="350">
        <f>+G46</f>
        <v>19898932.351925001</v>
      </c>
    </row>
    <row r="54" spans="4:16">
      <c r="D54" s="19" t="s">
        <v>397</v>
      </c>
      <c r="F54" s="21">
        <f>+C46</f>
        <v>22780288.449999999</v>
      </c>
    </row>
    <row r="55" spans="4:16">
      <c r="D55" s="19" t="s">
        <v>398</v>
      </c>
      <c r="F55" s="21">
        <f>+H46</f>
        <v>2339932.4812500002</v>
      </c>
    </row>
    <row r="56" spans="4:16">
      <c r="F56" s="212">
        <f>SUM(F51:F55)</f>
        <v>25120220.931249999</v>
      </c>
      <c r="G56" s="212">
        <f>SUM(G51:G55)</f>
        <v>25120220.931249999</v>
      </c>
    </row>
    <row r="57" spans="4:16">
      <c r="G57" s="350">
        <f>G56-F56</f>
        <v>0</v>
      </c>
    </row>
  </sheetData>
  <mergeCells count="12">
    <mergeCell ref="A37:A38"/>
    <mergeCell ref="A16:A17"/>
    <mergeCell ref="A19:A20"/>
    <mergeCell ref="A22:A23"/>
    <mergeCell ref="A25:A26"/>
    <mergeCell ref="A28:A29"/>
    <mergeCell ref="A31:A32"/>
    <mergeCell ref="A3:A4"/>
    <mergeCell ref="A6:A7"/>
    <mergeCell ref="A9:A10"/>
    <mergeCell ref="A12:A14"/>
    <mergeCell ref="A34:A3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6DDE8-7BCC-4720-9193-C6FC6514AEB5}">
  <dimension ref="A1:J566"/>
  <sheetViews>
    <sheetView workbookViewId="0">
      <pane xSplit="2" ySplit="1" topLeftCell="C89" activePane="bottomRight" state="frozen"/>
      <selection activeCell="D17" sqref="D17"/>
      <selection pane="topRight" activeCell="D17" sqref="D17"/>
      <selection pane="bottomLeft" activeCell="D17" sqref="D17"/>
      <selection pane="bottomRight" activeCell="D17" sqref="D17"/>
    </sheetView>
  </sheetViews>
  <sheetFormatPr defaultRowHeight="15"/>
  <cols>
    <col min="1" max="1" width="39.42578125" bestFit="1" customWidth="1"/>
    <col min="2" max="2" width="11.28515625" bestFit="1" customWidth="1"/>
    <col min="3" max="3" width="58.28515625" bestFit="1" customWidth="1"/>
    <col min="4" max="4" width="19" bestFit="1" customWidth="1"/>
    <col min="5" max="5" width="13.28515625" style="264" bestFit="1" customWidth="1"/>
    <col min="6" max="6" width="13.7109375" style="264" bestFit="1" customWidth="1"/>
    <col min="7" max="7" width="16.28515625" hidden="1" customWidth="1"/>
    <col min="8" max="8" width="15.28515625" hidden="1" customWidth="1"/>
    <col min="9" max="9" width="19.42578125" hidden="1" customWidth="1"/>
    <col min="10" max="10" width="12.5703125" bestFit="1" customWidth="1"/>
  </cols>
  <sheetData>
    <row r="1" spans="1:10">
      <c r="A1" t="s">
        <v>122</v>
      </c>
      <c r="B1" t="s">
        <v>100</v>
      </c>
      <c r="C1" t="s">
        <v>121</v>
      </c>
      <c r="D1" t="s">
        <v>123</v>
      </c>
      <c r="E1" s="264" t="s">
        <v>124</v>
      </c>
      <c r="F1" s="264" t="s">
        <v>95</v>
      </c>
      <c r="G1" t="s">
        <v>125</v>
      </c>
      <c r="H1" t="s">
        <v>126</v>
      </c>
      <c r="I1" t="s">
        <v>127</v>
      </c>
    </row>
    <row r="2" spans="1:10">
      <c r="A2" t="s">
        <v>672</v>
      </c>
      <c r="B2" t="s">
        <v>128</v>
      </c>
      <c r="C2" t="s">
        <v>416</v>
      </c>
      <c r="D2" t="s">
        <v>417</v>
      </c>
      <c r="E2" s="264">
        <v>180000</v>
      </c>
      <c r="F2" s="264">
        <v>1980000</v>
      </c>
      <c r="G2" t="s">
        <v>134</v>
      </c>
      <c r="H2" t="s">
        <v>135</v>
      </c>
      <c r="I2" t="s">
        <v>133</v>
      </c>
    </row>
    <row r="3" spans="1:10">
      <c r="A3" t="s">
        <v>413</v>
      </c>
      <c r="B3" t="s">
        <v>128</v>
      </c>
      <c r="C3" t="s">
        <v>129</v>
      </c>
      <c r="D3" t="s">
        <v>130</v>
      </c>
      <c r="E3" s="264">
        <v>0</v>
      </c>
      <c r="F3" s="264">
        <v>2000</v>
      </c>
      <c r="G3" t="s">
        <v>131</v>
      </c>
      <c r="H3" t="s">
        <v>132</v>
      </c>
      <c r="I3" t="s">
        <v>133</v>
      </c>
    </row>
    <row r="4" spans="1:10">
      <c r="A4" t="s">
        <v>414</v>
      </c>
      <c r="B4" t="s">
        <v>136</v>
      </c>
      <c r="C4" t="s">
        <v>141</v>
      </c>
      <c r="D4" t="s">
        <v>142</v>
      </c>
      <c r="E4" s="264">
        <v>253090.90909100001</v>
      </c>
      <c r="F4" s="264">
        <v>2784000</v>
      </c>
      <c r="G4" t="s">
        <v>134</v>
      </c>
      <c r="H4" t="s">
        <v>135</v>
      </c>
      <c r="I4" t="s">
        <v>133</v>
      </c>
      <c r="J4" s="368">
        <f>+F4-E4</f>
        <v>2530909.090909</v>
      </c>
    </row>
    <row r="5" spans="1:10">
      <c r="A5" t="s">
        <v>415</v>
      </c>
      <c r="B5" t="s">
        <v>145</v>
      </c>
      <c r="C5" t="s">
        <v>416</v>
      </c>
      <c r="D5" t="s">
        <v>417</v>
      </c>
      <c r="E5" s="264">
        <v>180000</v>
      </c>
      <c r="F5" s="264">
        <v>1980000</v>
      </c>
      <c r="G5" t="s">
        <v>134</v>
      </c>
      <c r="H5" t="s">
        <v>135</v>
      </c>
      <c r="I5" t="s">
        <v>133</v>
      </c>
    </row>
    <row r="6" spans="1:10">
      <c r="A6" t="s">
        <v>421</v>
      </c>
      <c r="B6" t="s">
        <v>145</v>
      </c>
      <c r="C6" t="s">
        <v>129</v>
      </c>
      <c r="D6" t="s">
        <v>130</v>
      </c>
      <c r="E6" s="264">
        <v>0</v>
      </c>
      <c r="F6" s="264">
        <v>2000</v>
      </c>
      <c r="G6" t="s">
        <v>131</v>
      </c>
      <c r="H6" t="s">
        <v>132</v>
      </c>
      <c r="I6" t="s">
        <v>133</v>
      </c>
    </row>
    <row r="7" spans="1:10">
      <c r="A7" t="s">
        <v>418</v>
      </c>
      <c r="B7" t="s">
        <v>145</v>
      </c>
      <c r="C7" t="s">
        <v>419</v>
      </c>
      <c r="D7" t="s">
        <v>420</v>
      </c>
      <c r="E7" s="264">
        <v>84240</v>
      </c>
      <c r="F7" s="264">
        <v>926640</v>
      </c>
      <c r="G7" t="s">
        <v>134</v>
      </c>
      <c r="H7" t="s">
        <v>135</v>
      </c>
      <c r="I7" t="s">
        <v>133</v>
      </c>
      <c r="J7" s="364">
        <f>+F7-E7</f>
        <v>842400</v>
      </c>
    </row>
    <row r="8" spans="1:10">
      <c r="A8" t="s">
        <v>425</v>
      </c>
      <c r="B8" t="s">
        <v>145</v>
      </c>
      <c r="C8" t="s">
        <v>146</v>
      </c>
      <c r="D8" t="s">
        <v>147</v>
      </c>
      <c r="E8" s="264">
        <v>0</v>
      </c>
      <c r="F8" s="264">
        <v>2000</v>
      </c>
      <c r="G8" t="s">
        <v>131</v>
      </c>
      <c r="H8" t="s">
        <v>132</v>
      </c>
      <c r="I8" t="s">
        <v>133</v>
      </c>
    </row>
    <row r="9" spans="1:10">
      <c r="A9" t="s">
        <v>422</v>
      </c>
      <c r="B9" t="s">
        <v>145</v>
      </c>
      <c r="C9" t="s">
        <v>423</v>
      </c>
      <c r="D9" t="s">
        <v>424</v>
      </c>
      <c r="E9" s="264">
        <v>0</v>
      </c>
      <c r="F9" s="264">
        <v>1000</v>
      </c>
      <c r="G9" t="s">
        <v>131</v>
      </c>
      <c r="H9" t="s">
        <v>132</v>
      </c>
      <c r="I9" t="s">
        <v>133</v>
      </c>
    </row>
    <row r="10" spans="1:10">
      <c r="A10" t="s">
        <v>426</v>
      </c>
      <c r="B10" t="s">
        <v>427</v>
      </c>
      <c r="C10" t="s">
        <v>428</v>
      </c>
      <c r="D10" t="s">
        <v>429</v>
      </c>
      <c r="E10" s="264">
        <v>17400</v>
      </c>
      <c r="F10" s="264">
        <v>191400</v>
      </c>
      <c r="G10" t="s">
        <v>134</v>
      </c>
      <c r="H10" t="s">
        <v>132</v>
      </c>
      <c r="I10" t="s">
        <v>133</v>
      </c>
    </row>
    <row r="11" spans="1:10">
      <c r="A11" t="s">
        <v>430</v>
      </c>
      <c r="B11" t="s">
        <v>148</v>
      </c>
      <c r="C11" t="s">
        <v>423</v>
      </c>
      <c r="D11" t="s">
        <v>424</v>
      </c>
      <c r="E11" s="264">
        <v>0</v>
      </c>
      <c r="F11" s="264">
        <v>1000</v>
      </c>
      <c r="G11" t="s">
        <v>131</v>
      </c>
      <c r="H11" t="s">
        <v>132</v>
      </c>
      <c r="I11" t="s">
        <v>133</v>
      </c>
    </row>
    <row r="12" spans="1:10">
      <c r="A12" t="s">
        <v>431</v>
      </c>
      <c r="B12" t="s">
        <v>432</v>
      </c>
      <c r="C12" t="s">
        <v>433</v>
      </c>
      <c r="D12" t="s">
        <v>434</v>
      </c>
      <c r="E12" s="264">
        <v>2300</v>
      </c>
      <c r="F12" s="264">
        <v>25300</v>
      </c>
      <c r="G12" t="s">
        <v>134</v>
      </c>
      <c r="H12" t="s">
        <v>132</v>
      </c>
      <c r="I12" t="s">
        <v>133</v>
      </c>
    </row>
    <row r="13" spans="1:10">
      <c r="A13" t="s">
        <v>436</v>
      </c>
      <c r="B13" t="s">
        <v>149</v>
      </c>
      <c r="C13" t="s">
        <v>437</v>
      </c>
      <c r="D13" t="s">
        <v>438</v>
      </c>
      <c r="E13" s="264">
        <v>0</v>
      </c>
      <c r="F13" s="264">
        <v>2900000</v>
      </c>
      <c r="G13" t="s">
        <v>131</v>
      </c>
      <c r="H13" t="s">
        <v>135</v>
      </c>
      <c r="I13" t="s">
        <v>133</v>
      </c>
    </row>
    <row r="14" spans="1:10">
      <c r="A14" t="s">
        <v>435</v>
      </c>
      <c r="B14" t="s">
        <v>149</v>
      </c>
      <c r="C14" t="s">
        <v>416</v>
      </c>
      <c r="D14" t="s">
        <v>417</v>
      </c>
      <c r="E14" s="264">
        <v>180000</v>
      </c>
      <c r="F14" s="264">
        <v>1980000</v>
      </c>
      <c r="G14" t="s">
        <v>134</v>
      </c>
      <c r="H14" t="s">
        <v>135</v>
      </c>
      <c r="I14" t="s">
        <v>133</v>
      </c>
    </row>
    <row r="15" spans="1:10">
      <c r="A15" t="s">
        <v>439</v>
      </c>
      <c r="B15" t="s">
        <v>149</v>
      </c>
      <c r="C15" t="s">
        <v>129</v>
      </c>
      <c r="D15" t="s">
        <v>130</v>
      </c>
      <c r="E15" s="264">
        <v>0</v>
      </c>
      <c r="F15" s="264">
        <v>7050</v>
      </c>
      <c r="G15" t="s">
        <v>131</v>
      </c>
      <c r="H15" t="s">
        <v>132</v>
      </c>
      <c r="I15" t="s">
        <v>133</v>
      </c>
    </row>
    <row r="16" spans="1:10">
      <c r="A16" t="s">
        <v>440</v>
      </c>
      <c r="B16" t="s">
        <v>149</v>
      </c>
      <c r="C16" t="s">
        <v>146</v>
      </c>
      <c r="D16" t="s">
        <v>147</v>
      </c>
      <c r="E16" s="264">
        <v>0</v>
      </c>
      <c r="F16" s="264">
        <v>2000</v>
      </c>
      <c r="G16" t="s">
        <v>131</v>
      </c>
      <c r="H16" t="s">
        <v>132</v>
      </c>
      <c r="I16" t="s">
        <v>133</v>
      </c>
    </row>
    <row r="17" spans="1:9">
      <c r="A17" t="s">
        <v>441</v>
      </c>
      <c r="B17" t="s">
        <v>150</v>
      </c>
      <c r="C17" t="s">
        <v>442</v>
      </c>
      <c r="D17" t="s">
        <v>443</v>
      </c>
      <c r="E17" s="264">
        <v>18181.818181999999</v>
      </c>
      <c r="F17" s="264">
        <v>200000</v>
      </c>
      <c r="G17" t="s">
        <v>134</v>
      </c>
      <c r="H17" t="s">
        <v>135</v>
      </c>
      <c r="I17" t="s">
        <v>133</v>
      </c>
    </row>
    <row r="18" spans="1:9">
      <c r="A18" t="s">
        <v>444</v>
      </c>
      <c r="B18" t="s">
        <v>150</v>
      </c>
      <c r="C18" t="s">
        <v>442</v>
      </c>
      <c r="D18" t="s">
        <v>443</v>
      </c>
      <c r="E18" s="264">
        <v>203845.45454499999</v>
      </c>
      <c r="F18" s="264">
        <v>2242300</v>
      </c>
      <c r="G18" t="s">
        <v>134</v>
      </c>
      <c r="H18" t="s">
        <v>135</v>
      </c>
      <c r="I18" t="s">
        <v>133</v>
      </c>
    </row>
    <row r="19" spans="1:9">
      <c r="A19" t="s">
        <v>445</v>
      </c>
      <c r="B19" t="s">
        <v>446</v>
      </c>
      <c r="C19" t="s">
        <v>447</v>
      </c>
      <c r="D19" t="s">
        <v>448</v>
      </c>
      <c r="E19" s="264">
        <v>0</v>
      </c>
      <c r="F19" s="264">
        <v>2000.18</v>
      </c>
      <c r="G19" t="s">
        <v>131</v>
      </c>
      <c r="H19" t="s">
        <v>132</v>
      </c>
      <c r="I19" t="s">
        <v>133</v>
      </c>
    </row>
    <row r="20" spans="1:9">
      <c r="A20" t="s">
        <v>449</v>
      </c>
      <c r="B20" t="s">
        <v>446</v>
      </c>
      <c r="C20" t="s">
        <v>447</v>
      </c>
      <c r="D20" t="s">
        <v>448</v>
      </c>
      <c r="E20" s="264">
        <v>0</v>
      </c>
      <c r="F20" s="264">
        <v>2000</v>
      </c>
      <c r="G20" t="s">
        <v>131</v>
      </c>
      <c r="H20" t="s">
        <v>132</v>
      </c>
      <c r="I20" t="s">
        <v>133</v>
      </c>
    </row>
    <row r="21" spans="1:9">
      <c r="A21" t="s">
        <v>450</v>
      </c>
      <c r="B21" t="s">
        <v>446</v>
      </c>
      <c r="C21" t="s">
        <v>447</v>
      </c>
      <c r="D21" t="s">
        <v>448</v>
      </c>
      <c r="E21" s="264">
        <v>0</v>
      </c>
      <c r="F21" s="264">
        <v>2011.96</v>
      </c>
      <c r="G21" t="s">
        <v>131</v>
      </c>
      <c r="H21" t="s">
        <v>132</v>
      </c>
      <c r="I21" t="s">
        <v>133</v>
      </c>
    </row>
    <row r="22" spans="1:9">
      <c r="A22" t="s">
        <v>451</v>
      </c>
      <c r="B22" t="s">
        <v>151</v>
      </c>
      <c r="C22" t="s">
        <v>129</v>
      </c>
      <c r="D22" t="s">
        <v>130</v>
      </c>
      <c r="E22" s="264">
        <v>0</v>
      </c>
      <c r="F22" s="264">
        <v>2000</v>
      </c>
      <c r="G22" t="s">
        <v>131</v>
      </c>
      <c r="H22" t="s">
        <v>132</v>
      </c>
      <c r="I22" t="s">
        <v>133</v>
      </c>
    </row>
    <row r="23" spans="1:9">
      <c r="A23" t="s">
        <v>452</v>
      </c>
      <c r="B23" t="s">
        <v>151</v>
      </c>
      <c r="C23" t="s">
        <v>187</v>
      </c>
      <c r="D23" t="s">
        <v>188</v>
      </c>
      <c r="E23" s="264">
        <v>7681.82</v>
      </c>
      <c r="F23" s="264">
        <v>84500</v>
      </c>
      <c r="G23" t="s">
        <v>134</v>
      </c>
      <c r="H23" t="s">
        <v>132</v>
      </c>
      <c r="I23" t="s">
        <v>133</v>
      </c>
    </row>
    <row r="24" spans="1:9">
      <c r="A24" t="s">
        <v>453</v>
      </c>
      <c r="B24" t="s">
        <v>151</v>
      </c>
      <c r="C24" t="s">
        <v>416</v>
      </c>
      <c r="D24" t="s">
        <v>417</v>
      </c>
      <c r="E24" s="264">
        <v>180000</v>
      </c>
      <c r="F24" s="264">
        <v>1980000</v>
      </c>
      <c r="G24" t="s">
        <v>134</v>
      </c>
      <c r="H24" t="s">
        <v>135</v>
      </c>
      <c r="I24" t="s">
        <v>133</v>
      </c>
    </row>
    <row r="25" spans="1:9">
      <c r="A25" t="s">
        <v>454</v>
      </c>
      <c r="B25" t="s">
        <v>151</v>
      </c>
      <c r="C25" t="s">
        <v>423</v>
      </c>
      <c r="D25" t="s">
        <v>424</v>
      </c>
      <c r="E25" s="264">
        <v>0</v>
      </c>
      <c r="F25" s="264">
        <v>1000</v>
      </c>
      <c r="G25" t="s">
        <v>131</v>
      </c>
      <c r="H25" t="s">
        <v>132</v>
      </c>
      <c r="I25" t="s">
        <v>133</v>
      </c>
    </row>
    <row r="26" spans="1:9">
      <c r="A26" t="s">
        <v>455</v>
      </c>
      <c r="B26" t="s">
        <v>151</v>
      </c>
      <c r="C26" t="s">
        <v>146</v>
      </c>
      <c r="D26" t="s">
        <v>147</v>
      </c>
      <c r="E26" s="264">
        <v>0</v>
      </c>
      <c r="F26" s="264">
        <v>2000</v>
      </c>
      <c r="G26" t="s">
        <v>131</v>
      </c>
      <c r="H26" t="s">
        <v>132</v>
      </c>
      <c r="I26" t="s">
        <v>133</v>
      </c>
    </row>
    <row r="27" spans="1:9">
      <c r="A27" t="s">
        <v>456</v>
      </c>
      <c r="B27" t="s">
        <v>152</v>
      </c>
      <c r="C27" t="s">
        <v>442</v>
      </c>
      <c r="D27" t="s">
        <v>443</v>
      </c>
      <c r="E27" s="264">
        <v>18181.818181999999</v>
      </c>
      <c r="F27" s="264">
        <v>200000</v>
      </c>
      <c r="G27" t="s">
        <v>134</v>
      </c>
      <c r="H27" t="s">
        <v>135</v>
      </c>
      <c r="I27" t="s">
        <v>133</v>
      </c>
    </row>
    <row r="28" spans="1:9">
      <c r="A28" t="s">
        <v>457</v>
      </c>
      <c r="B28" t="s">
        <v>152</v>
      </c>
      <c r="C28" t="s">
        <v>442</v>
      </c>
      <c r="D28" t="s">
        <v>443</v>
      </c>
      <c r="E28" s="264">
        <v>305768.18181799998</v>
      </c>
      <c r="F28" s="264">
        <v>3363450</v>
      </c>
      <c r="G28" t="s">
        <v>134</v>
      </c>
      <c r="H28" t="s">
        <v>135</v>
      </c>
      <c r="I28" t="s">
        <v>133</v>
      </c>
    </row>
    <row r="29" spans="1:9">
      <c r="A29" t="s">
        <v>458</v>
      </c>
      <c r="B29" t="s">
        <v>153</v>
      </c>
      <c r="C29" t="s">
        <v>129</v>
      </c>
      <c r="D29" t="s">
        <v>130</v>
      </c>
      <c r="E29" s="264">
        <v>0</v>
      </c>
      <c r="F29" s="264">
        <v>2000</v>
      </c>
      <c r="G29" t="s">
        <v>131</v>
      </c>
      <c r="H29" t="s">
        <v>132</v>
      </c>
      <c r="I29" t="s">
        <v>133</v>
      </c>
    </row>
    <row r="30" spans="1:9">
      <c r="A30" t="s">
        <v>459</v>
      </c>
      <c r="B30" t="s">
        <v>153</v>
      </c>
      <c r="C30" t="s">
        <v>423</v>
      </c>
      <c r="D30" t="s">
        <v>424</v>
      </c>
      <c r="E30" s="264">
        <v>0</v>
      </c>
      <c r="F30" s="264">
        <v>1000</v>
      </c>
      <c r="G30" t="s">
        <v>131</v>
      </c>
      <c r="H30" t="s">
        <v>132</v>
      </c>
      <c r="I30" t="s">
        <v>133</v>
      </c>
    </row>
    <row r="31" spans="1:9">
      <c r="A31" t="s">
        <v>460</v>
      </c>
      <c r="B31" t="s">
        <v>461</v>
      </c>
      <c r="C31" t="s">
        <v>462</v>
      </c>
      <c r="D31" t="s">
        <v>463</v>
      </c>
      <c r="E31" s="264">
        <v>0</v>
      </c>
      <c r="F31" s="264">
        <v>42500</v>
      </c>
      <c r="G31" t="s">
        <v>131</v>
      </c>
      <c r="H31" t="s">
        <v>135</v>
      </c>
      <c r="I31" t="s">
        <v>133</v>
      </c>
    </row>
    <row r="32" spans="1:9">
      <c r="A32" t="s">
        <v>464</v>
      </c>
      <c r="B32" t="s">
        <v>154</v>
      </c>
      <c r="C32" t="s">
        <v>433</v>
      </c>
      <c r="D32" t="s">
        <v>434</v>
      </c>
      <c r="E32" s="264">
        <v>31978</v>
      </c>
      <c r="F32" s="264">
        <v>351758</v>
      </c>
      <c r="G32" t="s">
        <v>134</v>
      </c>
      <c r="H32" t="s">
        <v>132</v>
      </c>
      <c r="I32" t="s">
        <v>133</v>
      </c>
    </row>
    <row r="33" spans="1:9">
      <c r="A33" t="s">
        <v>465</v>
      </c>
      <c r="B33" t="s">
        <v>154</v>
      </c>
      <c r="C33" t="s">
        <v>466</v>
      </c>
      <c r="D33" t="s">
        <v>467</v>
      </c>
      <c r="E33" s="264">
        <v>55.18</v>
      </c>
      <c r="F33" s="264">
        <v>607</v>
      </c>
      <c r="G33" t="s">
        <v>134</v>
      </c>
      <c r="H33" t="s">
        <v>132</v>
      </c>
      <c r="I33" t="s">
        <v>133</v>
      </c>
    </row>
    <row r="34" spans="1:9">
      <c r="A34" t="s">
        <v>468</v>
      </c>
      <c r="B34" t="s">
        <v>155</v>
      </c>
      <c r="C34" t="s">
        <v>129</v>
      </c>
      <c r="D34" t="s">
        <v>130</v>
      </c>
      <c r="E34" s="264">
        <v>0</v>
      </c>
      <c r="F34" s="264">
        <v>2000</v>
      </c>
      <c r="G34" t="s">
        <v>131</v>
      </c>
      <c r="H34" t="s">
        <v>132</v>
      </c>
      <c r="I34" t="s">
        <v>133</v>
      </c>
    </row>
    <row r="35" spans="1:9">
      <c r="A35" t="s">
        <v>470</v>
      </c>
      <c r="B35" t="s">
        <v>155</v>
      </c>
      <c r="C35" t="s">
        <v>423</v>
      </c>
      <c r="D35" t="s">
        <v>424</v>
      </c>
      <c r="E35" s="264">
        <v>0</v>
      </c>
      <c r="F35" s="264">
        <v>40400</v>
      </c>
      <c r="G35" t="s">
        <v>131</v>
      </c>
      <c r="H35" t="s">
        <v>132</v>
      </c>
      <c r="I35" t="s">
        <v>133</v>
      </c>
    </row>
    <row r="36" spans="1:9">
      <c r="A36" t="s">
        <v>469</v>
      </c>
      <c r="B36" t="s">
        <v>155</v>
      </c>
      <c r="C36" t="s">
        <v>423</v>
      </c>
      <c r="D36" t="s">
        <v>424</v>
      </c>
      <c r="E36" s="264">
        <v>0</v>
      </c>
      <c r="F36" s="264">
        <v>120000</v>
      </c>
      <c r="G36" t="s">
        <v>131</v>
      </c>
      <c r="H36" t="s">
        <v>132</v>
      </c>
      <c r="I36" t="s">
        <v>133</v>
      </c>
    </row>
    <row r="37" spans="1:9">
      <c r="A37" t="s">
        <v>471</v>
      </c>
      <c r="B37" t="s">
        <v>155</v>
      </c>
      <c r="C37" t="s">
        <v>146</v>
      </c>
      <c r="D37" t="s">
        <v>147</v>
      </c>
      <c r="E37" s="264">
        <v>0</v>
      </c>
      <c r="F37" s="264">
        <v>2000</v>
      </c>
      <c r="G37" t="s">
        <v>131</v>
      </c>
      <c r="H37" t="s">
        <v>132</v>
      </c>
      <c r="I37" t="s">
        <v>133</v>
      </c>
    </row>
    <row r="38" spans="1:9">
      <c r="A38" t="s">
        <v>472</v>
      </c>
      <c r="B38" t="s">
        <v>156</v>
      </c>
      <c r="C38" t="s">
        <v>473</v>
      </c>
      <c r="D38" t="s">
        <v>474</v>
      </c>
      <c r="E38" s="264">
        <v>0</v>
      </c>
      <c r="F38" s="264">
        <v>41000</v>
      </c>
      <c r="G38" t="s">
        <v>131</v>
      </c>
      <c r="H38" t="s">
        <v>135</v>
      </c>
      <c r="I38" t="s">
        <v>133</v>
      </c>
    </row>
    <row r="39" spans="1:9">
      <c r="A39" t="s">
        <v>475</v>
      </c>
      <c r="B39" t="s">
        <v>157</v>
      </c>
      <c r="C39" t="s">
        <v>442</v>
      </c>
      <c r="D39" t="s">
        <v>443</v>
      </c>
      <c r="E39" s="264">
        <v>170909.09090899999</v>
      </c>
      <c r="F39" s="264">
        <v>1880000</v>
      </c>
      <c r="G39" t="s">
        <v>134</v>
      </c>
      <c r="H39" t="s">
        <v>135</v>
      </c>
      <c r="I39" t="s">
        <v>133</v>
      </c>
    </row>
    <row r="40" spans="1:9">
      <c r="A40" t="s">
        <v>476</v>
      </c>
      <c r="B40" t="s">
        <v>158</v>
      </c>
      <c r="C40" t="s">
        <v>447</v>
      </c>
      <c r="D40" t="s">
        <v>448</v>
      </c>
      <c r="E40" s="264">
        <v>0</v>
      </c>
      <c r="F40" s="264">
        <v>2000</v>
      </c>
      <c r="G40" t="s">
        <v>131</v>
      </c>
      <c r="H40" t="s">
        <v>132</v>
      </c>
      <c r="I40" t="s">
        <v>133</v>
      </c>
    </row>
    <row r="41" spans="1:9">
      <c r="A41" t="s">
        <v>477</v>
      </c>
      <c r="B41" t="s">
        <v>158</v>
      </c>
      <c r="C41" t="s">
        <v>447</v>
      </c>
      <c r="D41" t="s">
        <v>448</v>
      </c>
      <c r="E41" s="264">
        <v>0</v>
      </c>
      <c r="F41" s="264">
        <v>2000</v>
      </c>
      <c r="G41" t="s">
        <v>131</v>
      </c>
      <c r="H41" t="s">
        <v>132</v>
      </c>
      <c r="I41" t="s">
        <v>133</v>
      </c>
    </row>
    <row r="42" spans="1:9">
      <c r="A42" t="s">
        <v>478</v>
      </c>
      <c r="B42" t="s">
        <v>158</v>
      </c>
      <c r="C42" t="s">
        <v>447</v>
      </c>
      <c r="D42" t="s">
        <v>448</v>
      </c>
      <c r="E42" s="264">
        <v>0</v>
      </c>
      <c r="F42" s="264">
        <v>2005.33</v>
      </c>
      <c r="G42" t="s">
        <v>131</v>
      </c>
      <c r="H42" t="s">
        <v>132</v>
      </c>
      <c r="I42" t="s">
        <v>133</v>
      </c>
    </row>
    <row r="43" spans="1:9">
      <c r="A43" t="s">
        <v>479</v>
      </c>
      <c r="B43" t="s">
        <v>159</v>
      </c>
      <c r="C43" t="s">
        <v>129</v>
      </c>
      <c r="D43" t="s">
        <v>130</v>
      </c>
      <c r="E43" s="264">
        <v>0</v>
      </c>
      <c r="F43" s="264">
        <v>2000</v>
      </c>
      <c r="G43" t="s">
        <v>131</v>
      </c>
      <c r="H43" t="s">
        <v>132</v>
      </c>
      <c r="I43" t="s">
        <v>133</v>
      </c>
    </row>
    <row r="44" spans="1:9">
      <c r="A44" t="s">
        <v>480</v>
      </c>
      <c r="B44" t="s">
        <v>159</v>
      </c>
      <c r="C44" t="s">
        <v>146</v>
      </c>
      <c r="D44" t="s">
        <v>147</v>
      </c>
      <c r="E44" s="264">
        <v>0</v>
      </c>
      <c r="F44" s="264">
        <v>2000</v>
      </c>
      <c r="G44" t="s">
        <v>131</v>
      </c>
      <c r="H44" t="s">
        <v>132</v>
      </c>
      <c r="I44" t="s">
        <v>133</v>
      </c>
    </row>
    <row r="45" spans="1:9">
      <c r="A45" t="s">
        <v>481</v>
      </c>
      <c r="B45" t="s">
        <v>160</v>
      </c>
      <c r="C45" t="s">
        <v>129</v>
      </c>
      <c r="D45" t="s">
        <v>130</v>
      </c>
      <c r="E45" s="264">
        <v>0</v>
      </c>
      <c r="F45" s="264">
        <v>2000</v>
      </c>
      <c r="G45" t="s">
        <v>131</v>
      </c>
      <c r="H45" t="s">
        <v>132</v>
      </c>
      <c r="I45" t="s">
        <v>133</v>
      </c>
    </row>
    <row r="46" spans="1:9">
      <c r="A46" t="s">
        <v>482</v>
      </c>
      <c r="B46" t="s">
        <v>160</v>
      </c>
      <c r="C46" t="s">
        <v>483</v>
      </c>
      <c r="D46" t="s">
        <v>484</v>
      </c>
      <c r="E46" s="264">
        <v>0</v>
      </c>
      <c r="F46" s="264">
        <v>500000</v>
      </c>
      <c r="G46" t="s">
        <v>134</v>
      </c>
      <c r="H46" t="s">
        <v>135</v>
      </c>
      <c r="I46" t="s">
        <v>133</v>
      </c>
    </row>
    <row r="47" spans="1:9">
      <c r="A47" t="s">
        <v>485</v>
      </c>
      <c r="B47" t="s">
        <v>160</v>
      </c>
      <c r="C47" t="s">
        <v>146</v>
      </c>
      <c r="D47" t="s">
        <v>147</v>
      </c>
      <c r="E47" s="264">
        <v>0</v>
      </c>
      <c r="F47" s="264">
        <v>2000</v>
      </c>
      <c r="G47" t="s">
        <v>131</v>
      </c>
      <c r="H47" t="s">
        <v>132</v>
      </c>
      <c r="I47" t="s">
        <v>133</v>
      </c>
    </row>
    <row r="48" spans="1:9">
      <c r="A48" t="s">
        <v>486</v>
      </c>
      <c r="B48" t="s">
        <v>161</v>
      </c>
      <c r="C48" t="s">
        <v>487</v>
      </c>
      <c r="D48" t="s">
        <v>488</v>
      </c>
      <c r="E48" s="264">
        <v>2663.64</v>
      </c>
      <c r="F48" s="264">
        <v>29300</v>
      </c>
      <c r="G48" t="s">
        <v>134</v>
      </c>
      <c r="H48" t="s">
        <v>132</v>
      </c>
      <c r="I48" t="s">
        <v>133</v>
      </c>
    </row>
    <row r="49" spans="1:9">
      <c r="A49" t="s">
        <v>489</v>
      </c>
      <c r="B49" t="s">
        <v>162</v>
      </c>
      <c r="C49" t="s">
        <v>490</v>
      </c>
      <c r="D49" t="s">
        <v>491</v>
      </c>
      <c r="E49" s="264">
        <v>3636.3636000000001</v>
      </c>
      <c r="F49" s="264">
        <v>40000</v>
      </c>
      <c r="G49" t="s">
        <v>134</v>
      </c>
      <c r="H49" t="s">
        <v>132</v>
      </c>
      <c r="I49" t="s">
        <v>133</v>
      </c>
    </row>
    <row r="50" spans="1:9">
      <c r="A50" t="s">
        <v>492</v>
      </c>
      <c r="B50" t="s">
        <v>493</v>
      </c>
      <c r="C50" t="s">
        <v>494</v>
      </c>
      <c r="D50" t="s">
        <v>495</v>
      </c>
      <c r="E50" s="264">
        <v>13800</v>
      </c>
      <c r="F50" s="264">
        <v>151800</v>
      </c>
      <c r="G50" t="s">
        <v>134</v>
      </c>
      <c r="H50" t="s">
        <v>132</v>
      </c>
      <c r="I50" t="s">
        <v>133</v>
      </c>
    </row>
    <row r="51" spans="1:9">
      <c r="A51" t="s">
        <v>496</v>
      </c>
      <c r="B51" t="s">
        <v>163</v>
      </c>
      <c r="C51" t="s">
        <v>483</v>
      </c>
      <c r="D51" t="s">
        <v>484</v>
      </c>
      <c r="E51" s="264">
        <v>0</v>
      </c>
      <c r="F51" s="264">
        <v>1000000</v>
      </c>
      <c r="G51" t="s">
        <v>134</v>
      </c>
      <c r="H51" t="s">
        <v>135</v>
      </c>
      <c r="I51" t="s">
        <v>133</v>
      </c>
    </row>
    <row r="52" spans="1:9">
      <c r="A52" t="s">
        <v>497</v>
      </c>
      <c r="B52" t="s">
        <v>163</v>
      </c>
      <c r="C52" t="s">
        <v>129</v>
      </c>
      <c r="D52" t="s">
        <v>130</v>
      </c>
      <c r="E52" s="264">
        <v>0</v>
      </c>
      <c r="F52" s="264">
        <v>2450</v>
      </c>
      <c r="G52" t="s">
        <v>131</v>
      </c>
      <c r="H52" t="s">
        <v>132</v>
      </c>
      <c r="I52" t="s">
        <v>133</v>
      </c>
    </row>
    <row r="53" spans="1:9">
      <c r="A53" t="s">
        <v>498</v>
      </c>
      <c r="B53" t="s">
        <v>163</v>
      </c>
      <c r="C53" t="s">
        <v>499</v>
      </c>
      <c r="D53" t="s">
        <v>500</v>
      </c>
      <c r="E53" s="264">
        <v>47838.636363999998</v>
      </c>
      <c r="F53" s="264">
        <v>526225</v>
      </c>
      <c r="G53" t="s">
        <v>134</v>
      </c>
      <c r="H53" t="s">
        <v>135</v>
      </c>
      <c r="I53" t="s">
        <v>133</v>
      </c>
    </row>
    <row r="54" spans="1:9">
      <c r="A54" t="s">
        <v>501</v>
      </c>
      <c r="B54" t="s">
        <v>163</v>
      </c>
      <c r="C54" t="s">
        <v>502</v>
      </c>
      <c r="D54" t="s">
        <v>503</v>
      </c>
      <c r="E54" s="264">
        <v>0</v>
      </c>
      <c r="F54" s="264">
        <v>12874803.84</v>
      </c>
      <c r="G54" t="s">
        <v>134</v>
      </c>
      <c r="H54" t="s">
        <v>135</v>
      </c>
      <c r="I54" t="s">
        <v>133</v>
      </c>
    </row>
    <row r="55" spans="1:9">
      <c r="A55" t="s">
        <v>504</v>
      </c>
      <c r="B55" t="s">
        <v>163</v>
      </c>
      <c r="C55" t="s">
        <v>146</v>
      </c>
      <c r="D55" t="s">
        <v>147</v>
      </c>
      <c r="E55" s="264">
        <v>0</v>
      </c>
      <c r="F55" s="264">
        <v>2000</v>
      </c>
      <c r="G55" t="s">
        <v>131</v>
      </c>
      <c r="H55" t="s">
        <v>132</v>
      </c>
      <c r="I55" t="s">
        <v>133</v>
      </c>
    </row>
    <row r="56" spans="1:9">
      <c r="A56" t="s">
        <v>505</v>
      </c>
      <c r="B56" t="s">
        <v>506</v>
      </c>
      <c r="C56" t="s">
        <v>146</v>
      </c>
      <c r="D56" t="s">
        <v>147</v>
      </c>
      <c r="E56" s="264">
        <v>0</v>
      </c>
      <c r="F56" s="264">
        <v>15000</v>
      </c>
      <c r="G56" t="s">
        <v>131</v>
      </c>
      <c r="H56" t="s">
        <v>132</v>
      </c>
      <c r="I56" t="s">
        <v>133</v>
      </c>
    </row>
    <row r="57" spans="1:9">
      <c r="A57" t="s">
        <v>507</v>
      </c>
      <c r="B57" t="s">
        <v>506</v>
      </c>
      <c r="C57" t="s">
        <v>508</v>
      </c>
      <c r="D57" t="s">
        <v>509</v>
      </c>
      <c r="E57" s="264">
        <v>3454.5454549999999</v>
      </c>
      <c r="F57" s="264">
        <v>38000</v>
      </c>
      <c r="G57" t="s">
        <v>134</v>
      </c>
      <c r="H57" t="s">
        <v>135</v>
      </c>
      <c r="I57" t="s">
        <v>133</v>
      </c>
    </row>
    <row r="58" spans="1:9">
      <c r="A58" t="s">
        <v>510</v>
      </c>
      <c r="B58" t="s">
        <v>164</v>
      </c>
      <c r="C58" t="s">
        <v>466</v>
      </c>
      <c r="D58" t="s">
        <v>467</v>
      </c>
      <c r="E58" s="264">
        <v>55.18</v>
      </c>
      <c r="F58" s="264">
        <v>607</v>
      </c>
      <c r="G58" t="s">
        <v>134</v>
      </c>
      <c r="H58" t="s">
        <v>132</v>
      </c>
      <c r="I58" t="s">
        <v>133</v>
      </c>
    </row>
    <row r="59" spans="1:9">
      <c r="A59" t="s">
        <v>511</v>
      </c>
      <c r="B59" t="s">
        <v>166</v>
      </c>
      <c r="C59" t="s">
        <v>512</v>
      </c>
      <c r="D59" t="s">
        <v>513</v>
      </c>
      <c r="E59" s="264">
        <v>0</v>
      </c>
      <c r="F59" s="264">
        <v>530600</v>
      </c>
      <c r="G59" t="s">
        <v>131</v>
      </c>
      <c r="H59" t="s">
        <v>135</v>
      </c>
      <c r="I59" t="s">
        <v>133</v>
      </c>
    </row>
    <row r="60" spans="1:9">
      <c r="A60" t="s">
        <v>514</v>
      </c>
      <c r="B60" t="s">
        <v>166</v>
      </c>
      <c r="C60" t="s">
        <v>515</v>
      </c>
      <c r="D60" t="s">
        <v>516</v>
      </c>
      <c r="E60" s="264">
        <v>5000</v>
      </c>
      <c r="F60" s="264">
        <v>55000</v>
      </c>
      <c r="G60" t="s">
        <v>134</v>
      </c>
      <c r="H60" t="s">
        <v>132</v>
      </c>
      <c r="I60" t="s">
        <v>133</v>
      </c>
    </row>
    <row r="61" spans="1:9">
      <c r="A61" t="s">
        <v>517</v>
      </c>
      <c r="B61" t="s">
        <v>518</v>
      </c>
      <c r="C61" t="s">
        <v>447</v>
      </c>
      <c r="D61" t="s">
        <v>448</v>
      </c>
      <c r="E61" s="264">
        <v>0</v>
      </c>
      <c r="F61" s="264">
        <v>2000.13</v>
      </c>
      <c r="G61" t="s">
        <v>131</v>
      </c>
      <c r="H61" t="s">
        <v>132</v>
      </c>
      <c r="I61" t="s">
        <v>133</v>
      </c>
    </row>
    <row r="62" spans="1:9">
      <c r="A62" t="s">
        <v>519</v>
      </c>
      <c r="B62" t="s">
        <v>518</v>
      </c>
      <c r="C62" t="s">
        <v>447</v>
      </c>
      <c r="D62" t="s">
        <v>448</v>
      </c>
      <c r="E62" s="264">
        <v>0</v>
      </c>
      <c r="F62" s="264">
        <v>2000</v>
      </c>
      <c r="G62" t="s">
        <v>131</v>
      </c>
      <c r="H62" t="s">
        <v>132</v>
      </c>
      <c r="I62" t="s">
        <v>133</v>
      </c>
    </row>
    <row r="63" spans="1:9">
      <c r="A63" t="s">
        <v>520</v>
      </c>
      <c r="B63" t="s">
        <v>518</v>
      </c>
      <c r="C63" t="s">
        <v>447</v>
      </c>
      <c r="D63" t="s">
        <v>448</v>
      </c>
      <c r="E63" s="264">
        <v>0</v>
      </c>
      <c r="F63" s="264">
        <v>1987.94</v>
      </c>
      <c r="G63" t="s">
        <v>131</v>
      </c>
      <c r="H63" t="s">
        <v>132</v>
      </c>
      <c r="I63" t="s">
        <v>133</v>
      </c>
    </row>
    <row r="64" spans="1:9">
      <c r="A64" t="s">
        <v>526</v>
      </c>
      <c r="B64" t="s">
        <v>167</v>
      </c>
      <c r="C64" t="s">
        <v>129</v>
      </c>
      <c r="D64" t="s">
        <v>130</v>
      </c>
      <c r="E64" s="264">
        <v>0</v>
      </c>
      <c r="F64" s="264">
        <v>6900</v>
      </c>
      <c r="G64" t="s">
        <v>131</v>
      </c>
      <c r="H64" t="s">
        <v>132</v>
      </c>
      <c r="I64" t="s">
        <v>133</v>
      </c>
    </row>
    <row r="65" spans="1:9">
      <c r="A65" t="s">
        <v>529</v>
      </c>
      <c r="B65" t="s">
        <v>167</v>
      </c>
      <c r="C65" t="s">
        <v>530</v>
      </c>
      <c r="D65" t="s">
        <v>531</v>
      </c>
      <c r="E65" s="264">
        <v>27272.727273</v>
      </c>
      <c r="F65" s="264">
        <v>300000</v>
      </c>
      <c r="G65" t="s">
        <v>134</v>
      </c>
      <c r="H65" t="s">
        <v>135</v>
      </c>
      <c r="I65" t="s">
        <v>133</v>
      </c>
    </row>
    <row r="66" spans="1:9">
      <c r="A66" t="s">
        <v>528</v>
      </c>
      <c r="B66" t="s">
        <v>167</v>
      </c>
      <c r="C66" t="s">
        <v>483</v>
      </c>
      <c r="D66" t="s">
        <v>484</v>
      </c>
      <c r="E66" s="264">
        <v>0</v>
      </c>
      <c r="F66" s="264">
        <v>1000000</v>
      </c>
      <c r="G66" t="s">
        <v>134</v>
      </c>
      <c r="H66" t="s">
        <v>135</v>
      </c>
      <c r="I66" t="s">
        <v>133</v>
      </c>
    </row>
    <row r="67" spans="1:9">
      <c r="A67" t="s">
        <v>525</v>
      </c>
      <c r="B67" t="s">
        <v>167</v>
      </c>
      <c r="C67" t="s">
        <v>522</v>
      </c>
      <c r="D67" t="s">
        <v>523</v>
      </c>
      <c r="E67" s="264">
        <v>25000</v>
      </c>
      <c r="F67" s="264">
        <v>275000</v>
      </c>
      <c r="G67" t="s">
        <v>134</v>
      </c>
      <c r="H67" t="s">
        <v>135</v>
      </c>
      <c r="I67" t="s">
        <v>133</v>
      </c>
    </row>
    <row r="68" spans="1:9">
      <c r="A68" t="s">
        <v>521</v>
      </c>
      <c r="B68" t="s">
        <v>167</v>
      </c>
      <c r="C68" t="s">
        <v>522</v>
      </c>
      <c r="D68" t="s">
        <v>523</v>
      </c>
      <c r="E68" s="264">
        <v>140000</v>
      </c>
      <c r="F68" s="264">
        <v>1540000</v>
      </c>
      <c r="G68" t="s">
        <v>134</v>
      </c>
      <c r="H68" t="s">
        <v>135</v>
      </c>
      <c r="I68" t="s">
        <v>133</v>
      </c>
    </row>
    <row r="69" spans="1:9">
      <c r="A69" t="s">
        <v>524</v>
      </c>
      <c r="B69" t="s">
        <v>167</v>
      </c>
      <c r="C69" t="s">
        <v>442</v>
      </c>
      <c r="D69" t="s">
        <v>443</v>
      </c>
      <c r="E69" s="264">
        <v>0</v>
      </c>
      <c r="F69" s="264">
        <v>208440</v>
      </c>
      <c r="G69" t="s">
        <v>165</v>
      </c>
      <c r="H69" t="s">
        <v>135</v>
      </c>
      <c r="I69" t="s">
        <v>133</v>
      </c>
    </row>
    <row r="70" spans="1:9">
      <c r="A70" t="s">
        <v>527</v>
      </c>
      <c r="B70" t="s">
        <v>167</v>
      </c>
      <c r="C70" t="s">
        <v>442</v>
      </c>
      <c r="D70" t="s">
        <v>443</v>
      </c>
      <c r="E70" s="264">
        <v>0</v>
      </c>
      <c r="F70" s="264">
        <v>138920</v>
      </c>
      <c r="G70" t="s">
        <v>165</v>
      </c>
      <c r="H70" t="s">
        <v>135</v>
      </c>
      <c r="I70" t="s">
        <v>133</v>
      </c>
    </row>
    <row r="71" spans="1:9">
      <c r="A71" t="s">
        <v>532</v>
      </c>
      <c r="B71" t="s">
        <v>167</v>
      </c>
      <c r="C71" t="s">
        <v>146</v>
      </c>
      <c r="D71" t="s">
        <v>147</v>
      </c>
      <c r="E71" s="264">
        <v>0</v>
      </c>
      <c r="F71" s="264">
        <v>2000</v>
      </c>
      <c r="G71" t="s">
        <v>131</v>
      </c>
      <c r="H71" t="s">
        <v>132</v>
      </c>
      <c r="I71" t="s">
        <v>133</v>
      </c>
    </row>
    <row r="72" spans="1:9">
      <c r="A72" t="s">
        <v>533</v>
      </c>
      <c r="B72" t="s">
        <v>168</v>
      </c>
      <c r="C72" t="s">
        <v>462</v>
      </c>
      <c r="D72" t="s">
        <v>463</v>
      </c>
      <c r="E72" s="264">
        <v>0</v>
      </c>
      <c r="F72" s="264">
        <v>153000</v>
      </c>
      <c r="G72" t="s">
        <v>131</v>
      </c>
      <c r="H72" t="s">
        <v>135</v>
      </c>
      <c r="I72" t="s">
        <v>133</v>
      </c>
    </row>
    <row r="73" spans="1:9">
      <c r="A73" t="s">
        <v>534</v>
      </c>
      <c r="B73" t="s">
        <v>535</v>
      </c>
      <c r="C73" t="s">
        <v>473</v>
      </c>
      <c r="D73" t="s">
        <v>474</v>
      </c>
      <c r="E73" s="264">
        <v>0</v>
      </c>
      <c r="F73" s="264">
        <v>20000</v>
      </c>
      <c r="G73" t="s">
        <v>134</v>
      </c>
      <c r="H73" t="s">
        <v>132</v>
      </c>
      <c r="I73" t="s">
        <v>133</v>
      </c>
    </row>
    <row r="74" spans="1:9">
      <c r="A74" t="s">
        <v>536</v>
      </c>
      <c r="B74" t="s">
        <v>537</v>
      </c>
      <c r="C74" t="s">
        <v>139</v>
      </c>
      <c r="D74" t="s">
        <v>140</v>
      </c>
      <c r="E74" s="264">
        <v>2727.27</v>
      </c>
      <c r="F74" s="264">
        <v>30000</v>
      </c>
      <c r="G74" t="s">
        <v>134</v>
      </c>
      <c r="H74" t="s">
        <v>132</v>
      </c>
      <c r="I74" t="s">
        <v>133</v>
      </c>
    </row>
    <row r="75" spans="1:9">
      <c r="A75" t="s">
        <v>538</v>
      </c>
      <c r="B75" t="s">
        <v>169</v>
      </c>
      <c r="C75" t="s">
        <v>539</v>
      </c>
      <c r="D75" t="s">
        <v>540</v>
      </c>
      <c r="E75" s="264">
        <v>45454.545454999999</v>
      </c>
      <c r="F75" s="264">
        <v>500000</v>
      </c>
      <c r="G75" t="s">
        <v>134</v>
      </c>
      <c r="H75" t="s">
        <v>135</v>
      </c>
      <c r="I75" t="s">
        <v>133</v>
      </c>
    </row>
    <row r="76" spans="1:9">
      <c r="A76" t="s">
        <v>541</v>
      </c>
      <c r="B76" t="s">
        <v>170</v>
      </c>
      <c r="C76" t="s">
        <v>442</v>
      </c>
      <c r="D76" t="s">
        <v>443</v>
      </c>
      <c r="E76" s="264">
        <v>2727.272727</v>
      </c>
      <c r="F76" s="264">
        <v>30000</v>
      </c>
      <c r="G76" t="s">
        <v>134</v>
      </c>
      <c r="H76" t="s">
        <v>135</v>
      </c>
      <c r="I76" t="s">
        <v>133</v>
      </c>
    </row>
    <row r="77" spans="1:9">
      <c r="A77" t="s">
        <v>542</v>
      </c>
      <c r="B77" t="s">
        <v>170</v>
      </c>
      <c r="C77" t="s">
        <v>442</v>
      </c>
      <c r="D77" t="s">
        <v>443</v>
      </c>
      <c r="E77" s="264">
        <v>86200</v>
      </c>
      <c r="F77" s="264">
        <v>948200</v>
      </c>
      <c r="G77" t="s">
        <v>134</v>
      </c>
      <c r="H77" t="s">
        <v>135</v>
      </c>
      <c r="I77" t="s">
        <v>133</v>
      </c>
    </row>
    <row r="78" spans="1:9">
      <c r="A78" t="s">
        <v>543</v>
      </c>
      <c r="B78" t="s">
        <v>171</v>
      </c>
      <c r="C78" t="s">
        <v>544</v>
      </c>
      <c r="D78" t="s">
        <v>545</v>
      </c>
      <c r="E78" s="264">
        <v>7000</v>
      </c>
      <c r="F78" s="264">
        <v>77000</v>
      </c>
      <c r="G78" t="s">
        <v>134</v>
      </c>
      <c r="H78" t="s">
        <v>135</v>
      </c>
      <c r="I78" t="s">
        <v>133</v>
      </c>
    </row>
    <row r="79" spans="1:9">
      <c r="A79" t="s">
        <v>546</v>
      </c>
      <c r="B79" t="s">
        <v>172</v>
      </c>
      <c r="C79" t="s">
        <v>547</v>
      </c>
      <c r="D79" t="s">
        <v>548</v>
      </c>
      <c r="E79" s="264">
        <v>2445.4499999999998</v>
      </c>
      <c r="F79" s="264">
        <v>26900</v>
      </c>
      <c r="G79" t="s">
        <v>134</v>
      </c>
      <c r="H79" t="s">
        <v>132</v>
      </c>
      <c r="I79" t="s">
        <v>133</v>
      </c>
    </row>
    <row r="80" spans="1:9">
      <c r="A80" t="s">
        <v>549</v>
      </c>
      <c r="B80" t="s">
        <v>173</v>
      </c>
      <c r="C80" t="s">
        <v>550</v>
      </c>
      <c r="D80" t="s">
        <v>551</v>
      </c>
      <c r="E80" s="264">
        <v>46045.45</v>
      </c>
      <c r="F80" s="264">
        <v>506500</v>
      </c>
      <c r="G80" t="s">
        <v>134</v>
      </c>
      <c r="H80" t="s">
        <v>132</v>
      </c>
      <c r="I80" t="s">
        <v>133</v>
      </c>
    </row>
    <row r="81" spans="1:9">
      <c r="A81" t="s">
        <v>553</v>
      </c>
      <c r="B81" t="s">
        <v>174</v>
      </c>
      <c r="C81" t="s">
        <v>129</v>
      </c>
      <c r="D81" t="s">
        <v>130</v>
      </c>
      <c r="E81" s="264">
        <v>0</v>
      </c>
      <c r="F81" s="264">
        <v>3150</v>
      </c>
      <c r="G81" t="s">
        <v>131</v>
      </c>
      <c r="H81" t="s">
        <v>132</v>
      </c>
      <c r="I81" t="s">
        <v>133</v>
      </c>
    </row>
    <row r="82" spans="1:9">
      <c r="A82" t="s">
        <v>552</v>
      </c>
      <c r="B82" t="s">
        <v>174</v>
      </c>
      <c r="C82" t="s">
        <v>483</v>
      </c>
      <c r="D82" t="s">
        <v>484</v>
      </c>
      <c r="E82" s="264">
        <v>0</v>
      </c>
      <c r="F82" s="264">
        <v>1000000</v>
      </c>
      <c r="G82" t="s">
        <v>134</v>
      </c>
      <c r="H82" t="s">
        <v>135</v>
      </c>
      <c r="I82" t="s">
        <v>133</v>
      </c>
    </row>
    <row r="83" spans="1:9">
      <c r="A83" t="s">
        <v>554</v>
      </c>
      <c r="B83" t="s">
        <v>174</v>
      </c>
      <c r="C83" t="s">
        <v>146</v>
      </c>
      <c r="D83" t="s">
        <v>147</v>
      </c>
      <c r="E83" s="264">
        <v>0</v>
      </c>
      <c r="F83" s="264">
        <v>2000</v>
      </c>
      <c r="G83" t="s">
        <v>131</v>
      </c>
      <c r="H83" t="s">
        <v>132</v>
      </c>
      <c r="I83" t="s">
        <v>133</v>
      </c>
    </row>
    <row r="84" spans="1:9">
      <c r="A84" t="s">
        <v>555</v>
      </c>
      <c r="B84" t="s">
        <v>175</v>
      </c>
      <c r="C84" t="s">
        <v>137</v>
      </c>
      <c r="D84" t="s">
        <v>138</v>
      </c>
      <c r="E84" s="264">
        <v>2000</v>
      </c>
      <c r="F84" s="264">
        <v>22000</v>
      </c>
      <c r="G84" t="s">
        <v>134</v>
      </c>
      <c r="H84" t="s">
        <v>132</v>
      </c>
      <c r="I84" t="s">
        <v>133</v>
      </c>
    </row>
    <row r="85" spans="1:9">
      <c r="A85" t="s">
        <v>556</v>
      </c>
      <c r="B85" t="s">
        <v>557</v>
      </c>
      <c r="C85" t="s">
        <v>558</v>
      </c>
      <c r="D85" t="s">
        <v>559</v>
      </c>
      <c r="E85" s="264">
        <v>0</v>
      </c>
      <c r="F85" s="264">
        <v>609600</v>
      </c>
      <c r="G85" t="s">
        <v>165</v>
      </c>
      <c r="H85" t="s">
        <v>132</v>
      </c>
      <c r="I85" t="s">
        <v>133</v>
      </c>
    </row>
    <row r="86" spans="1:9">
      <c r="A86" t="s">
        <v>560</v>
      </c>
      <c r="B86" t="s">
        <v>176</v>
      </c>
      <c r="C86" t="s">
        <v>544</v>
      </c>
      <c r="D86" t="s">
        <v>545</v>
      </c>
      <c r="E86" s="264">
        <v>32727.272727</v>
      </c>
      <c r="F86" s="264">
        <v>360000</v>
      </c>
      <c r="G86" t="s">
        <v>134</v>
      </c>
      <c r="H86" t="s">
        <v>135</v>
      </c>
      <c r="I86" t="s">
        <v>133</v>
      </c>
    </row>
    <row r="87" spans="1:9">
      <c r="A87" t="s">
        <v>561</v>
      </c>
      <c r="B87" t="s">
        <v>177</v>
      </c>
      <c r="C87" t="s">
        <v>143</v>
      </c>
      <c r="D87" t="s">
        <v>144</v>
      </c>
      <c r="E87" s="264">
        <v>10818.18</v>
      </c>
      <c r="F87" s="264">
        <v>119000</v>
      </c>
      <c r="G87" t="s">
        <v>134</v>
      </c>
      <c r="H87" t="s">
        <v>132</v>
      </c>
      <c r="I87" t="s">
        <v>133</v>
      </c>
    </row>
    <row r="88" spans="1:9">
      <c r="A88" t="s">
        <v>562</v>
      </c>
      <c r="B88" t="s">
        <v>178</v>
      </c>
      <c r="C88" t="s">
        <v>558</v>
      </c>
      <c r="D88" t="s">
        <v>559</v>
      </c>
      <c r="E88" s="264">
        <v>0</v>
      </c>
      <c r="F88" s="264">
        <v>1608000</v>
      </c>
      <c r="G88" t="s">
        <v>165</v>
      </c>
      <c r="H88" t="s">
        <v>132</v>
      </c>
      <c r="I88" t="s">
        <v>133</v>
      </c>
    </row>
    <row r="89" spans="1:9">
      <c r="A89" t="s">
        <v>563</v>
      </c>
      <c r="B89" t="s">
        <v>179</v>
      </c>
      <c r="C89" t="s">
        <v>139</v>
      </c>
      <c r="D89" t="s">
        <v>140</v>
      </c>
      <c r="E89" s="264">
        <v>5454.55</v>
      </c>
      <c r="F89" s="264">
        <v>60000</v>
      </c>
      <c r="G89" t="s">
        <v>134</v>
      </c>
      <c r="H89" t="s">
        <v>132</v>
      </c>
      <c r="I89" t="s">
        <v>133</v>
      </c>
    </row>
    <row r="90" spans="1:9">
      <c r="A90" t="s">
        <v>564</v>
      </c>
      <c r="B90" t="s">
        <v>180</v>
      </c>
      <c r="C90" t="s">
        <v>129</v>
      </c>
      <c r="D90" t="s">
        <v>130</v>
      </c>
      <c r="E90" s="264">
        <v>0</v>
      </c>
      <c r="F90" s="264">
        <v>3050</v>
      </c>
      <c r="G90" t="s">
        <v>131</v>
      </c>
      <c r="H90" t="s">
        <v>132</v>
      </c>
      <c r="I90" t="s">
        <v>133</v>
      </c>
    </row>
    <row r="91" spans="1:9">
      <c r="A91" t="s">
        <v>565</v>
      </c>
      <c r="B91" t="s">
        <v>181</v>
      </c>
      <c r="C91" t="s">
        <v>566</v>
      </c>
      <c r="D91" t="s">
        <v>567</v>
      </c>
      <c r="E91" s="264">
        <v>454545.45454499999</v>
      </c>
      <c r="F91" s="264">
        <v>5000000</v>
      </c>
      <c r="G91" t="s">
        <v>134</v>
      </c>
      <c r="H91" t="s">
        <v>135</v>
      </c>
      <c r="I91" t="s">
        <v>133</v>
      </c>
    </row>
    <row r="92" spans="1:9">
      <c r="A92" t="s">
        <v>568</v>
      </c>
      <c r="B92" t="s">
        <v>181</v>
      </c>
      <c r="C92" t="s">
        <v>442</v>
      </c>
      <c r="D92" t="s">
        <v>443</v>
      </c>
      <c r="E92" s="264">
        <v>0</v>
      </c>
      <c r="F92" s="264">
        <v>875160</v>
      </c>
      <c r="G92" t="s">
        <v>165</v>
      </c>
      <c r="H92" t="s">
        <v>135</v>
      </c>
      <c r="I92" t="s">
        <v>133</v>
      </c>
    </row>
    <row r="93" spans="1:9">
      <c r="A93" t="s">
        <v>569</v>
      </c>
      <c r="B93" t="s">
        <v>181</v>
      </c>
      <c r="C93" t="s">
        <v>483</v>
      </c>
      <c r="D93" t="s">
        <v>484</v>
      </c>
      <c r="E93" s="264">
        <v>0</v>
      </c>
      <c r="F93" s="264">
        <v>1000000</v>
      </c>
      <c r="G93" t="s">
        <v>134</v>
      </c>
      <c r="H93" t="s">
        <v>135</v>
      </c>
      <c r="I93" t="s">
        <v>133</v>
      </c>
    </row>
    <row r="94" spans="1:9">
      <c r="A94" t="s">
        <v>570</v>
      </c>
      <c r="B94" t="s">
        <v>181</v>
      </c>
      <c r="C94" t="s">
        <v>146</v>
      </c>
      <c r="D94" t="s">
        <v>147</v>
      </c>
      <c r="E94" s="264">
        <v>0</v>
      </c>
      <c r="F94" s="264">
        <v>2000</v>
      </c>
      <c r="G94" t="s">
        <v>131</v>
      </c>
      <c r="H94" t="s">
        <v>132</v>
      </c>
      <c r="I94" t="s">
        <v>133</v>
      </c>
    </row>
    <row r="95" spans="1:9">
      <c r="A95" t="s">
        <v>571</v>
      </c>
      <c r="B95" t="s">
        <v>182</v>
      </c>
      <c r="C95" t="s">
        <v>494</v>
      </c>
      <c r="D95" t="s">
        <v>495</v>
      </c>
      <c r="E95" s="264">
        <v>1300</v>
      </c>
      <c r="F95" s="264">
        <v>14300</v>
      </c>
      <c r="G95" t="s">
        <v>134</v>
      </c>
      <c r="H95" t="s">
        <v>132</v>
      </c>
      <c r="I95" t="s">
        <v>133</v>
      </c>
    </row>
    <row r="96" spans="1:9">
      <c r="A96" t="s">
        <v>572</v>
      </c>
      <c r="B96" t="s">
        <v>183</v>
      </c>
      <c r="C96" t="s">
        <v>462</v>
      </c>
      <c r="D96" t="s">
        <v>463</v>
      </c>
      <c r="E96" s="264">
        <v>0</v>
      </c>
      <c r="F96" s="264">
        <v>84500</v>
      </c>
      <c r="G96" t="s">
        <v>131</v>
      </c>
      <c r="H96" t="s">
        <v>135</v>
      </c>
      <c r="I96" t="s">
        <v>133</v>
      </c>
    </row>
    <row r="97" spans="1:9">
      <c r="A97" t="s">
        <v>573</v>
      </c>
      <c r="B97" t="s">
        <v>183</v>
      </c>
      <c r="C97" t="s">
        <v>574</v>
      </c>
      <c r="D97" t="s">
        <v>575</v>
      </c>
      <c r="E97" s="264">
        <v>302727.272727</v>
      </c>
      <c r="F97" s="264">
        <v>3330000</v>
      </c>
      <c r="G97" t="s">
        <v>134</v>
      </c>
      <c r="H97" t="s">
        <v>135</v>
      </c>
      <c r="I97" t="s">
        <v>133</v>
      </c>
    </row>
    <row r="98" spans="1:9">
      <c r="A98" t="s">
        <v>576</v>
      </c>
      <c r="B98" t="s">
        <v>184</v>
      </c>
      <c r="C98" t="s">
        <v>442</v>
      </c>
      <c r="D98" t="s">
        <v>443</v>
      </c>
      <c r="E98" s="264">
        <v>27272.727273</v>
      </c>
      <c r="F98" s="264">
        <v>300000</v>
      </c>
      <c r="G98" t="s">
        <v>134</v>
      </c>
      <c r="H98" t="s">
        <v>135</v>
      </c>
      <c r="I98" t="s">
        <v>133</v>
      </c>
    </row>
    <row r="99" spans="1:9">
      <c r="A99" t="s">
        <v>577</v>
      </c>
      <c r="B99" t="s">
        <v>184</v>
      </c>
      <c r="C99" t="s">
        <v>442</v>
      </c>
      <c r="D99" t="s">
        <v>443</v>
      </c>
      <c r="E99" s="264">
        <v>119109.09090900001</v>
      </c>
      <c r="F99" s="264">
        <v>1310200</v>
      </c>
      <c r="G99" t="s">
        <v>134</v>
      </c>
      <c r="H99" t="s">
        <v>135</v>
      </c>
      <c r="I99" t="s">
        <v>133</v>
      </c>
    </row>
    <row r="100" spans="1:9">
      <c r="A100" t="s">
        <v>578</v>
      </c>
      <c r="B100" t="s">
        <v>185</v>
      </c>
      <c r="C100" t="s">
        <v>579</v>
      </c>
      <c r="D100" t="s">
        <v>580</v>
      </c>
      <c r="E100" s="264">
        <v>27232.14</v>
      </c>
      <c r="F100" s="264">
        <v>305000</v>
      </c>
      <c r="G100" t="s">
        <v>134</v>
      </c>
      <c r="H100" t="s">
        <v>132</v>
      </c>
      <c r="I100" t="s">
        <v>133</v>
      </c>
    </row>
    <row r="101" spans="1:9">
      <c r="A101" t="s">
        <v>581</v>
      </c>
      <c r="B101" t="s">
        <v>186</v>
      </c>
      <c r="C101" t="s">
        <v>582</v>
      </c>
      <c r="D101" t="s">
        <v>583</v>
      </c>
      <c r="E101" s="264">
        <v>0</v>
      </c>
      <c r="F101" s="264">
        <v>100000</v>
      </c>
      <c r="G101" t="s">
        <v>134</v>
      </c>
      <c r="H101" t="s">
        <v>135</v>
      </c>
      <c r="I101" t="s">
        <v>133</v>
      </c>
    </row>
    <row r="102" spans="1:9">
      <c r="A102" t="s">
        <v>584</v>
      </c>
      <c r="B102" t="s">
        <v>585</v>
      </c>
      <c r="C102" t="s">
        <v>447</v>
      </c>
      <c r="D102" t="s">
        <v>448</v>
      </c>
      <c r="E102" s="264">
        <v>0</v>
      </c>
      <c r="F102" s="264">
        <v>1999.94</v>
      </c>
      <c r="G102" t="s">
        <v>131</v>
      </c>
      <c r="H102" t="s">
        <v>132</v>
      </c>
      <c r="I102" t="s">
        <v>133</v>
      </c>
    </row>
    <row r="103" spans="1:9">
      <c r="A103" t="s">
        <v>586</v>
      </c>
      <c r="B103" t="s">
        <v>585</v>
      </c>
      <c r="C103" t="s">
        <v>447</v>
      </c>
      <c r="D103" t="s">
        <v>448</v>
      </c>
      <c r="E103" s="264">
        <v>0</v>
      </c>
      <c r="F103" s="264">
        <v>2000</v>
      </c>
      <c r="G103" t="s">
        <v>131</v>
      </c>
      <c r="H103" t="s">
        <v>132</v>
      </c>
      <c r="I103" t="s">
        <v>133</v>
      </c>
    </row>
    <row r="104" spans="1:9">
      <c r="A104" t="s">
        <v>587</v>
      </c>
      <c r="B104" t="s">
        <v>585</v>
      </c>
      <c r="C104" t="s">
        <v>447</v>
      </c>
      <c r="D104" t="s">
        <v>448</v>
      </c>
      <c r="E104" s="264">
        <v>0</v>
      </c>
      <c r="F104" s="264">
        <v>1983.87</v>
      </c>
      <c r="G104" t="s">
        <v>131</v>
      </c>
      <c r="H104" t="s">
        <v>132</v>
      </c>
      <c r="I104" t="s">
        <v>133</v>
      </c>
    </row>
    <row r="105" spans="1:9">
      <c r="E105" s="267">
        <f>SUM(E2:E104)</f>
        <v>3278140.0417820001</v>
      </c>
      <c r="F105" s="267">
        <f>SUM(F2:F104)</f>
        <v>61011500.189999998</v>
      </c>
    </row>
    <row r="106" spans="1:9">
      <c r="F106" s="264">
        <f>+F105-E105</f>
        <v>57733360.148217998</v>
      </c>
    </row>
    <row r="565" spans="4:6">
      <c r="D565" t="s">
        <v>818</v>
      </c>
      <c r="E565" s="264">
        <v>952195.45454499999</v>
      </c>
      <c r="F565" s="264">
        <v>11696670</v>
      </c>
    </row>
    <row r="566" spans="4:6">
      <c r="F566" s="264">
        <v>10744474.545454999</v>
      </c>
    </row>
  </sheetData>
  <autoFilter ref="A1:L563" xr:uid="{0506DDE8-7BCC-4720-9193-C6FC6514AEB5}"/>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EFE00-CB1E-4E15-8FFF-8B335EE6EEEB}">
  <dimension ref="A1:Q77"/>
  <sheetViews>
    <sheetView topLeftCell="C1" workbookViewId="0">
      <selection activeCell="D17" sqref="D17"/>
    </sheetView>
  </sheetViews>
  <sheetFormatPr defaultRowHeight="12.75"/>
  <cols>
    <col min="1" max="1" width="24.7109375" style="310" bestFit="1" customWidth="1"/>
    <col min="2" max="2" width="18.140625" style="310" bestFit="1" customWidth="1"/>
    <col min="3" max="3" width="12.28515625" style="310" bestFit="1" customWidth="1"/>
    <col min="4" max="4" width="75.7109375" style="310" bestFit="1" customWidth="1"/>
    <col min="5" max="6" width="8.85546875" style="310"/>
    <col min="7" max="7" width="24.7109375" style="310" bestFit="1" customWidth="1"/>
    <col min="8" max="8" width="14.7109375" style="331" bestFit="1" customWidth="1"/>
    <col min="9" max="9" width="13.5703125" style="331" customWidth="1"/>
    <col min="10" max="10" width="13.7109375" style="311" bestFit="1" customWidth="1"/>
    <col min="11" max="11" width="11.28515625" style="310" customWidth="1"/>
    <col min="12" max="12" width="11.28515625" style="310" bestFit="1" customWidth="1"/>
    <col min="13" max="13" width="9.5703125" style="310" bestFit="1" customWidth="1"/>
    <col min="14" max="14" width="8.7109375" style="310" bestFit="1" customWidth="1"/>
    <col min="15" max="15" width="28.28515625" style="310" bestFit="1" customWidth="1"/>
    <col min="16" max="17" width="14.7109375" style="310" bestFit="1" customWidth="1"/>
    <col min="18" max="253" width="8.85546875" style="310"/>
    <col min="254" max="254" width="27.7109375" style="310" customWidth="1"/>
    <col min="255" max="255" width="10.28515625" style="310" bestFit="1" customWidth="1"/>
    <col min="256" max="256" width="12.42578125" style="310" bestFit="1" customWidth="1"/>
    <col min="257" max="259" width="8.85546875" style="310"/>
    <col min="260" max="260" width="12.7109375" style="310" customWidth="1"/>
    <col min="261" max="262" width="8.85546875" style="310"/>
    <col min="263" max="263" width="26.28515625" style="310" customWidth="1"/>
    <col min="264" max="264" width="15.140625" style="310" bestFit="1" customWidth="1"/>
    <col min="265" max="266" width="14.140625" style="310" bestFit="1" customWidth="1"/>
    <col min="267" max="267" width="13.7109375" style="310" bestFit="1" customWidth="1"/>
    <col min="268" max="270" width="12.42578125" style="310" bestFit="1" customWidth="1"/>
    <col min="271" max="271" width="10.42578125" style="310" bestFit="1" customWidth="1"/>
    <col min="272" max="509" width="8.85546875" style="310"/>
    <col min="510" max="510" width="27.7109375" style="310" customWidth="1"/>
    <col min="511" max="511" width="10.28515625" style="310" bestFit="1" customWidth="1"/>
    <col min="512" max="512" width="12.42578125" style="310" bestFit="1" customWidth="1"/>
    <col min="513" max="515" width="8.85546875" style="310"/>
    <col min="516" max="516" width="12.7109375" style="310" customWidth="1"/>
    <col min="517" max="518" width="8.85546875" style="310"/>
    <col min="519" max="519" width="26.28515625" style="310" customWidth="1"/>
    <col min="520" max="520" width="15.140625" style="310" bestFit="1" customWidth="1"/>
    <col min="521" max="522" width="14.140625" style="310" bestFit="1" customWidth="1"/>
    <col min="523" max="523" width="13.7109375" style="310" bestFit="1" customWidth="1"/>
    <col min="524" max="526" width="12.42578125" style="310" bestFit="1" customWidth="1"/>
    <col min="527" max="527" width="10.42578125" style="310" bestFit="1" customWidth="1"/>
    <col min="528" max="765" width="8.85546875" style="310"/>
    <col min="766" max="766" width="27.7109375" style="310" customWidth="1"/>
    <col min="767" max="767" width="10.28515625" style="310" bestFit="1" customWidth="1"/>
    <col min="768" max="768" width="12.42578125" style="310" bestFit="1" customWidth="1"/>
    <col min="769" max="771" width="8.85546875" style="310"/>
    <col min="772" max="772" width="12.7109375" style="310" customWidth="1"/>
    <col min="773" max="774" width="8.85546875" style="310"/>
    <col min="775" max="775" width="26.28515625" style="310" customWidth="1"/>
    <col min="776" max="776" width="15.140625" style="310" bestFit="1" customWidth="1"/>
    <col min="777" max="778" width="14.140625" style="310" bestFit="1" customWidth="1"/>
    <col min="779" max="779" width="13.7109375" style="310" bestFit="1" customWidth="1"/>
    <col min="780" max="782" width="12.42578125" style="310" bestFit="1" customWidth="1"/>
    <col min="783" max="783" width="10.42578125" style="310" bestFit="1" customWidth="1"/>
    <col min="784" max="1021" width="8.85546875" style="310"/>
    <col min="1022" max="1022" width="27.7109375" style="310" customWidth="1"/>
    <col min="1023" max="1023" width="10.28515625" style="310" bestFit="1" customWidth="1"/>
    <col min="1024" max="1024" width="12.42578125" style="310" bestFit="1" customWidth="1"/>
    <col min="1025" max="1027" width="8.85546875" style="310"/>
    <col min="1028" max="1028" width="12.7109375" style="310" customWidth="1"/>
    <col min="1029" max="1030" width="8.85546875" style="310"/>
    <col min="1031" max="1031" width="26.28515625" style="310" customWidth="1"/>
    <col min="1032" max="1032" width="15.140625" style="310" bestFit="1" customWidth="1"/>
    <col min="1033" max="1034" width="14.140625" style="310" bestFit="1" customWidth="1"/>
    <col min="1035" max="1035" width="13.7109375" style="310" bestFit="1" customWidth="1"/>
    <col min="1036" max="1038" width="12.42578125" style="310" bestFit="1" customWidth="1"/>
    <col min="1039" max="1039" width="10.42578125" style="310" bestFit="1" customWidth="1"/>
    <col min="1040" max="1277" width="8.85546875" style="310"/>
    <col min="1278" max="1278" width="27.7109375" style="310" customWidth="1"/>
    <col min="1279" max="1279" width="10.28515625" style="310" bestFit="1" customWidth="1"/>
    <col min="1280" max="1280" width="12.42578125" style="310" bestFit="1" customWidth="1"/>
    <col min="1281" max="1283" width="8.85546875" style="310"/>
    <col min="1284" max="1284" width="12.7109375" style="310" customWidth="1"/>
    <col min="1285" max="1286" width="8.85546875" style="310"/>
    <col min="1287" max="1287" width="26.28515625" style="310" customWidth="1"/>
    <col min="1288" max="1288" width="15.140625" style="310" bestFit="1" customWidth="1"/>
    <col min="1289" max="1290" width="14.140625" style="310" bestFit="1" customWidth="1"/>
    <col min="1291" max="1291" width="13.7109375" style="310" bestFit="1" customWidth="1"/>
    <col min="1292" max="1294" width="12.42578125" style="310" bestFit="1" customWidth="1"/>
    <col min="1295" max="1295" width="10.42578125" style="310" bestFit="1" customWidth="1"/>
    <col min="1296" max="1533" width="8.85546875" style="310"/>
    <col min="1534" max="1534" width="27.7109375" style="310" customWidth="1"/>
    <col min="1535" max="1535" width="10.28515625" style="310" bestFit="1" customWidth="1"/>
    <col min="1536" max="1536" width="12.42578125" style="310" bestFit="1" customWidth="1"/>
    <col min="1537" max="1539" width="8.85546875" style="310"/>
    <col min="1540" max="1540" width="12.7109375" style="310" customWidth="1"/>
    <col min="1541" max="1542" width="8.85546875" style="310"/>
    <col min="1543" max="1543" width="26.28515625" style="310" customWidth="1"/>
    <col min="1544" max="1544" width="15.140625" style="310" bestFit="1" customWidth="1"/>
    <col min="1545" max="1546" width="14.140625" style="310" bestFit="1" customWidth="1"/>
    <col min="1547" max="1547" width="13.7109375" style="310" bestFit="1" customWidth="1"/>
    <col min="1548" max="1550" width="12.42578125" style="310" bestFit="1" customWidth="1"/>
    <col min="1551" max="1551" width="10.42578125" style="310" bestFit="1" customWidth="1"/>
    <col min="1552" max="1789" width="8.85546875" style="310"/>
    <col min="1790" max="1790" width="27.7109375" style="310" customWidth="1"/>
    <col min="1791" max="1791" width="10.28515625" style="310" bestFit="1" customWidth="1"/>
    <col min="1792" max="1792" width="12.42578125" style="310" bestFit="1" customWidth="1"/>
    <col min="1793" max="1795" width="8.85546875" style="310"/>
    <col min="1796" max="1796" width="12.7109375" style="310" customWidth="1"/>
    <col min="1797" max="1798" width="8.85546875" style="310"/>
    <col min="1799" max="1799" width="26.28515625" style="310" customWidth="1"/>
    <col min="1800" max="1800" width="15.140625" style="310" bestFit="1" customWidth="1"/>
    <col min="1801" max="1802" width="14.140625" style="310" bestFit="1" customWidth="1"/>
    <col min="1803" max="1803" width="13.7109375" style="310" bestFit="1" customWidth="1"/>
    <col min="1804" max="1806" width="12.42578125" style="310" bestFit="1" customWidth="1"/>
    <col min="1807" max="1807" width="10.42578125" style="310" bestFit="1" customWidth="1"/>
    <col min="1808" max="2045" width="8.85546875" style="310"/>
    <col min="2046" max="2046" width="27.7109375" style="310" customWidth="1"/>
    <col min="2047" max="2047" width="10.28515625" style="310" bestFit="1" customWidth="1"/>
    <col min="2048" max="2048" width="12.42578125" style="310" bestFit="1" customWidth="1"/>
    <col min="2049" max="2051" width="8.85546875" style="310"/>
    <col min="2052" max="2052" width="12.7109375" style="310" customWidth="1"/>
    <col min="2053" max="2054" width="8.85546875" style="310"/>
    <col min="2055" max="2055" width="26.28515625" style="310" customWidth="1"/>
    <col min="2056" max="2056" width="15.140625" style="310" bestFit="1" customWidth="1"/>
    <col min="2057" max="2058" width="14.140625" style="310" bestFit="1" customWidth="1"/>
    <col min="2059" max="2059" width="13.7109375" style="310" bestFit="1" customWidth="1"/>
    <col min="2060" max="2062" width="12.42578125" style="310" bestFit="1" customWidth="1"/>
    <col min="2063" max="2063" width="10.42578125" style="310" bestFit="1" customWidth="1"/>
    <col min="2064" max="2301" width="8.85546875" style="310"/>
    <col min="2302" max="2302" width="27.7109375" style="310" customWidth="1"/>
    <col min="2303" max="2303" width="10.28515625" style="310" bestFit="1" customWidth="1"/>
    <col min="2304" max="2304" width="12.42578125" style="310" bestFit="1" customWidth="1"/>
    <col min="2305" max="2307" width="8.85546875" style="310"/>
    <col min="2308" max="2308" width="12.7109375" style="310" customWidth="1"/>
    <col min="2309" max="2310" width="8.85546875" style="310"/>
    <col min="2311" max="2311" width="26.28515625" style="310" customWidth="1"/>
    <col min="2312" max="2312" width="15.140625" style="310" bestFit="1" customWidth="1"/>
    <col min="2313" max="2314" width="14.140625" style="310" bestFit="1" customWidth="1"/>
    <col min="2315" max="2315" width="13.7109375" style="310" bestFit="1" customWidth="1"/>
    <col min="2316" max="2318" width="12.42578125" style="310" bestFit="1" customWidth="1"/>
    <col min="2319" max="2319" width="10.42578125" style="310" bestFit="1" customWidth="1"/>
    <col min="2320" max="2557" width="8.85546875" style="310"/>
    <col min="2558" max="2558" width="27.7109375" style="310" customWidth="1"/>
    <col min="2559" max="2559" width="10.28515625" style="310" bestFit="1" customWidth="1"/>
    <col min="2560" max="2560" width="12.42578125" style="310" bestFit="1" customWidth="1"/>
    <col min="2561" max="2563" width="8.85546875" style="310"/>
    <col min="2564" max="2564" width="12.7109375" style="310" customWidth="1"/>
    <col min="2565" max="2566" width="8.85546875" style="310"/>
    <col min="2567" max="2567" width="26.28515625" style="310" customWidth="1"/>
    <col min="2568" max="2568" width="15.140625" style="310" bestFit="1" customWidth="1"/>
    <col min="2569" max="2570" width="14.140625" style="310" bestFit="1" customWidth="1"/>
    <col min="2571" max="2571" width="13.7109375" style="310" bestFit="1" customWidth="1"/>
    <col min="2572" max="2574" width="12.42578125" style="310" bestFit="1" customWidth="1"/>
    <col min="2575" max="2575" width="10.42578125" style="310" bestFit="1" customWidth="1"/>
    <col min="2576" max="2813" width="8.85546875" style="310"/>
    <col min="2814" max="2814" width="27.7109375" style="310" customWidth="1"/>
    <col min="2815" max="2815" width="10.28515625" style="310" bestFit="1" customWidth="1"/>
    <col min="2816" max="2816" width="12.42578125" style="310" bestFit="1" customWidth="1"/>
    <col min="2817" max="2819" width="8.85546875" style="310"/>
    <col min="2820" max="2820" width="12.7109375" style="310" customWidth="1"/>
    <col min="2821" max="2822" width="8.85546875" style="310"/>
    <col min="2823" max="2823" width="26.28515625" style="310" customWidth="1"/>
    <col min="2824" max="2824" width="15.140625" style="310" bestFit="1" customWidth="1"/>
    <col min="2825" max="2826" width="14.140625" style="310" bestFit="1" customWidth="1"/>
    <col min="2827" max="2827" width="13.7109375" style="310" bestFit="1" customWidth="1"/>
    <col min="2828" max="2830" width="12.42578125" style="310" bestFit="1" customWidth="1"/>
    <col min="2831" max="2831" width="10.42578125" style="310" bestFit="1" customWidth="1"/>
    <col min="2832" max="3069" width="8.85546875" style="310"/>
    <col min="3070" max="3070" width="27.7109375" style="310" customWidth="1"/>
    <col min="3071" max="3071" width="10.28515625" style="310" bestFit="1" customWidth="1"/>
    <col min="3072" max="3072" width="12.42578125" style="310" bestFit="1" customWidth="1"/>
    <col min="3073" max="3075" width="8.85546875" style="310"/>
    <col min="3076" max="3076" width="12.7109375" style="310" customWidth="1"/>
    <col min="3077" max="3078" width="8.85546875" style="310"/>
    <col min="3079" max="3079" width="26.28515625" style="310" customWidth="1"/>
    <col min="3080" max="3080" width="15.140625" style="310" bestFit="1" customWidth="1"/>
    <col min="3081" max="3082" width="14.140625" style="310" bestFit="1" customWidth="1"/>
    <col min="3083" max="3083" width="13.7109375" style="310" bestFit="1" customWidth="1"/>
    <col min="3084" max="3086" width="12.42578125" style="310" bestFit="1" customWidth="1"/>
    <col min="3087" max="3087" width="10.42578125" style="310" bestFit="1" customWidth="1"/>
    <col min="3088" max="3325" width="8.85546875" style="310"/>
    <col min="3326" max="3326" width="27.7109375" style="310" customWidth="1"/>
    <col min="3327" max="3327" width="10.28515625" style="310" bestFit="1" customWidth="1"/>
    <col min="3328" max="3328" width="12.42578125" style="310" bestFit="1" customWidth="1"/>
    <col min="3329" max="3331" width="8.85546875" style="310"/>
    <col min="3332" max="3332" width="12.7109375" style="310" customWidth="1"/>
    <col min="3333" max="3334" width="8.85546875" style="310"/>
    <col min="3335" max="3335" width="26.28515625" style="310" customWidth="1"/>
    <col min="3336" max="3336" width="15.140625" style="310" bestFit="1" customWidth="1"/>
    <col min="3337" max="3338" width="14.140625" style="310" bestFit="1" customWidth="1"/>
    <col min="3339" max="3339" width="13.7109375" style="310" bestFit="1" customWidth="1"/>
    <col min="3340" max="3342" width="12.42578125" style="310" bestFit="1" customWidth="1"/>
    <col min="3343" max="3343" width="10.42578125" style="310" bestFit="1" customWidth="1"/>
    <col min="3344" max="3581" width="8.85546875" style="310"/>
    <col min="3582" max="3582" width="27.7109375" style="310" customWidth="1"/>
    <col min="3583" max="3583" width="10.28515625" style="310" bestFit="1" customWidth="1"/>
    <col min="3584" max="3584" width="12.42578125" style="310" bestFit="1" customWidth="1"/>
    <col min="3585" max="3587" width="8.85546875" style="310"/>
    <col min="3588" max="3588" width="12.7109375" style="310" customWidth="1"/>
    <col min="3589" max="3590" width="8.85546875" style="310"/>
    <col min="3591" max="3591" width="26.28515625" style="310" customWidth="1"/>
    <col min="3592" max="3592" width="15.140625" style="310" bestFit="1" customWidth="1"/>
    <col min="3593" max="3594" width="14.140625" style="310" bestFit="1" customWidth="1"/>
    <col min="3595" max="3595" width="13.7109375" style="310" bestFit="1" customWidth="1"/>
    <col min="3596" max="3598" width="12.42578125" style="310" bestFit="1" customWidth="1"/>
    <col min="3599" max="3599" width="10.42578125" style="310" bestFit="1" customWidth="1"/>
    <col min="3600" max="3837" width="8.85546875" style="310"/>
    <col min="3838" max="3838" width="27.7109375" style="310" customWidth="1"/>
    <col min="3839" max="3839" width="10.28515625" style="310" bestFit="1" customWidth="1"/>
    <col min="3840" max="3840" width="12.42578125" style="310" bestFit="1" customWidth="1"/>
    <col min="3841" max="3843" width="8.85546875" style="310"/>
    <col min="3844" max="3844" width="12.7109375" style="310" customWidth="1"/>
    <col min="3845" max="3846" width="8.85546875" style="310"/>
    <col min="3847" max="3847" width="26.28515625" style="310" customWidth="1"/>
    <col min="3848" max="3848" width="15.140625" style="310" bestFit="1" customWidth="1"/>
    <col min="3849" max="3850" width="14.140625" style="310" bestFit="1" customWidth="1"/>
    <col min="3851" max="3851" width="13.7109375" style="310" bestFit="1" customWidth="1"/>
    <col min="3852" max="3854" width="12.42578125" style="310" bestFit="1" customWidth="1"/>
    <col min="3855" max="3855" width="10.42578125" style="310" bestFit="1" customWidth="1"/>
    <col min="3856" max="4093" width="8.85546875" style="310"/>
    <col min="4094" max="4094" width="27.7109375" style="310" customWidth="1"/>
    <col min="4095" max="4095" width="10.28515625" style="310" bestFit="1" customWidth="1"/>
    <col min="4096" max="4096" width="12.42578125" style="310" bestFit="1" customWidth="1"/>
    <col min="4097" max="4099" width="8.85546875" style="310"/>
    <col min="4100" max="4100" width="12.7109375" style="310" customWidth="1"/>
    <col min="4101" max="4102" width="8.85546875" style="310"/>
    <col min="4103" max="4103" width="26.28515625" style="310" customWidth="1"/>
    <col min="4104" max="4104" width="15.140625" style="310" bestFit="1" customWidth="1"/>
    <col min="4105" max="4106" width="14.140625" style="310" bestFit="1" customWidth="1"/>
    <col min="4107" max="4107" width="13.7109375" style="310" bestFit="1" customWidth="1"/>
    <col min="4108" max="4110" width="12.42578125" style="310" bestFit="1" customWidth="1"/>
    <col min="4111" max="4111" width="10.42578125" style="310" bestFit="1" customWidth="1"/>
    <col min="4112" max="4349" width="8.85546875" style="310"/>
    <col min="4350" max="4350" width="27.7109375" style="310" customWidth="1"/>
    <col min="4351" max="4351" width="10.28515625" style="310" bestFit="1" customWidth="1"/>
    <col min="4352" max="4352" width="12.42578125" style="310" bestFit="1" customWidth="1"/>
    <col min="4353" max="4355" width="8.85546875" style="310"/>
    <col min="4356" max="4356" width="12.7109375" style="310" customWidth="1"/>
    <col min="4357" max="4358" width="8.85546875" style="310"/>
    <col min="4359" max="4359" width="26.28515625" style="310" customWidth="1"/>
    <col min="4360" max="4360" width="15.140625" style="310" bestFit="1" customWidth="1"/>
    <col min="4361" max="4362" width="14.140625" style="310" bestFit="1" customWidth="1"/>
    <col min="4363" max="4363" width="13.7109375" style="310" bestFit="1" customWidth="1"/>
    <col min="4364" max="4366" width="12.42578125" style="310" bestFit="1" customWidth="1"/>
    <col min="4367" max="4367" width="10.42578125" style="310" bestFit="1" customWidth="1"/>
    <col min="4368" max="4605" width="8.85546875" style="310"/>
    <col min="4606" max="4606" width="27.7109375" style="310" customWidth="1"/>
    <col min="4607" max="4607" width="10.28515625" style="310" bestFit="1" customWidth="1"/>
    <col min="4608" max="4608" width="12.42578125" style="310" bestFit="1" customWidth="1"/>
    <col min="4609" max="4611" width="8.85546875" style="310"/>
    <col min="4612" max="4612" width="12.7109375" style="310" customWidth="1"/>
    <col min="4613" max="4614" width="8.85546875" style="310"/>
    <col min="4615" max="4615" width="26.28515625" style="310" customWidth="1"/>
    <col min="4616" max="4616" width="15.140625" style="310" bestFit="1" customWidth="1"/>
    <col min="4617" max="4618" width="14.140625" style="310" bestFit="1" customWidth="1"/>
    <col min="4619" max="4619" width="13.7109375" style="310" bestFit="1" customWidth="1"/>
    <col min="4620" max="4622" width="12.42578125" style="310" bestFit="1" customWidth="1"/>
    <col min="4623" max="4623" width="10.42578125" style="310" bestFit="1" customWidth="1"/>
    <col min="4624" max="4861" width="8.85546875" style="310"/>
    <col min="4862" max="4862" width="27.7109375" style="310" customWidth="1"/>
    <col min="4863" max="4863" width="10.28515625" style="310" bestFit="1" customWidth="1"/>
    <col min="4864" max="4864" width="12.42578125" style="310" bestFit="1" customWidth="1"/>
    <col min="4865" max="4867" width="8.85546875" style="310"/>
    <col min="4868" max="4868" width="12.7109375" style="310" customWidth="1"/>
    <col min="4869" max="4870" width="8.85546875" style="310"/>
    <col min="4871" max="4871" width="26.28515625" style="310" customWidth="1"/>
    <col min="4872" max="4872" width="15.140625" style="310" bestFit="1" customWidth="1"/>
    <col min="4873" max="4874" width="14.140625" style="310" bestFit="1" customWidth="1"/>
    <col min="4875" max="4875" width="13.7109375" style="310" bestFit="1" customWidth="1"/>
    <col min="4876" max="4878" width="12.42578125" style="310" bestFit="1" customWidth="1"/>
    <col min="4879" max="4879" width="10.42578125" style="310" bestFit="1" customWidth="1"/>
    <col min="4880" max="5117" width="8.85546875" style="310"/>
    <col min="5118" max="5118" width="27.7109375" style="310" customWidth="1"/>
    <col min="5119" max="5119" width="10.28515625" style="310" bestFit="1" customWidth="1"/>
    <col min="5120" max="5120" width="12.42578125" style="310" bestFit="1" customWidth="1"/>
    <col min="5121" max="5123" width="8.85546875" style="310"/>
    <col min="5124" max="5124" width="12.7109375" style="310" customWidth="1"/>
    <col min="5125" max="5126" width="8.85546875" style="310"/>
    <col min="5127" max="5127" width="26.28515625" style="310" customWidth="1"/>
    <col min="5128" max="5128" width="15.140625" style="310" bestFit="1" customWidth="1"/>
    <col min="5129" max="5130" width="14.140625" style="310" bestFit="1" customWidth="1"/>
    <col min="5131" max="5131" width="13.7109375" style="310" bestFit="1" customWidth="1"/>
    <col min="5132" max="5134" width="12.42578125" style="310" bestFit="1" customWidth="1"/>
    <col min="5135" max="5135" width="10.42578125" style="310" bestFit="1" customWidth="1"/>
    <col min="5136" max="5373" width="8.85546875" style="310"/>
    <col min="5374" max="5374" width="27.7109375" style="310" customWidth="1"/>
    <col min="5375" max="5375" width="10.28515625" style="310" bestFit="1" customWidth="1"/>
    <col min="5376" max="5376" width="12.42578125" style="310" bestFit="1" customWidth="1"/>
    <col min="5377" max="5379" width="8.85546875" style="310"/>
    <col min="5380" max="5380" width="12.7109375" style="310" customWidth="1"/>
    <col min="5381" max="5382" width="8.85546875" style="310"/>
    <col min="5383" max="5383" width="26.28515625" style="310" customWidth="1"/>
    <col min="5384" max="5384" width="15.140625" style="310" bestFit="1" customWidth="1"/>
    <col min="5385" max="5386" width="14.140625" style="310" bestFit="1" customWidth="1"/>
    <col min="5387" max="5387" width="13.7109375" style="310" bestFit="1" customWidth="1"/>
    <col min="5388" max="5390" width="12.42578125" style="310" bestFit="1" customWidth="1"/>
    <col min="5391" max="5391" width="10.42578125" style="310" bestFit="1" customWidth="1"/>
    <col min="5392" max="5629" width="8.85546875" style="310"/>
    <col min="5630" max="5630" width="27.7109375" style="310" customWidth="1"/>
    <col min="5631" max="5631" width="10.28515625" style="310" bestFit="1" customWidth="1"/>
    <col min="5632" max="5632" width="12.42578125" style="310" bestFit="1" customWidth="1"/>
    <col min="5633" max="5635" width="8.85546875" style="310"/>
    <col min="5636" max="5636" width="12.7109375" style="310" customWidth="1"/>
    <col min="5637" max="5638" width="8.85546875" style="310"/>
    <col min="5639" max="5639" width="26.28515625" style="310" customWidth="1"/>
    <col min="5640" max="5640" width="15.140625" style="310" bestFit="1" customWidth="1"/>
    <col min="5641" max="5642" width="14.140625" style="310" bestFit="1" customWidth="1"/>
    <col min="5643" max="5643" width="13.7109375" style="310" bestFit="1" customWidth="1"/>
    <col min="5644" max="5646" width="12.42578125" style="310" bestFit="1" customWidth="1"/>
    <col min="5647" max="5647" width="10.42578125" style="310" bestFit="1" customWidth="1"/>
    <col min="5648" max="5885" width="8.85546875" style="310"/>
    <col min="5886" max="5886" width="27.7109375" style="310" customWidth="1"/>
    <col min="5887" max="5887" width="10.28515625" style="310" bestFit="1" customWidth="1"/>
    <col min="5888" max="5888" width="12.42578125" style="310" bestFit="1" customWidth="1"/>
    <col min="5889" max="5891" width="8.85546875" style="310"/>
    <col min="5892" max="5892" width="12.7109375" style="310" customWidth="1"/>
    <col min="5893" max="5894" width="8.85546875" style="310"/>
    <col min="5895" max="5895" width="26.28515625" style="310" customWidth="1"/>
    <col min="5896" max="5896" width="15.140625" style="310" bestFit="1" customWidth="1"/>
    <col min="5897" max="5898" width="14.140625" style="310" bestFit="1" customWidth="1"/>
    <col min="5899" max="5899" width="13.7109375" style="310" bestFit="1" customWidth="1"/>
    <col min="5900" max="5902" width="12.42578125" style="310" bestFit="1" customWidth="1"/>
    <col min="5903" max="5903" width="10.42578125" style="310" bestFit="1" customWidth="1"/>
    <col min="5904" max="6141" width="8.85546875" style="310"/>
    <col min="6142" max="6142" width="27.7109375" style="310" customWidth="1"/>
    <col min="6143" max="6143" width="10.28515625" style="310" bestFit="1" customWidth="1"/>
    <col min="6144" max="6144" width="12.42578125" style="310" bestFit="1" customWidth="1"/>
    <col min="6145" max="6147" width="8.85546875" style="310"/>
    <col min="6148" max="6148" width="12.7109375" style="310" customWidth="1"/>
    <col min="6149" max="6150" width="8.85546875" style="310"/>
    <col min="6151" max="6151" width="26.28515625" style="310" customWidth="1"/>
    <col min="6152" max="6152" width="15.140625" style="310" bestFit="1" customWidth="1"/>
    <col min="6153" max="6154" width="14.140625" style="310" bestFit="1" customWidth="1"/>
    <col min="6155" max="6155" width="13.7109375" style="310" bestFit="1" customWidth="1"/>
    <col min="6156" max="6158" width="12.42578125" style="310" bestFit="1" customWidth="1"/>
    <col min="6159" max="6159" width="10.42578125" style="310" bestFit="1" customWidth="1"/>
    <col min="6160" max="6397" width="8.85546875" style="310"/>
    <col min="6398" max="6398" width="27.7109375" style="310" customWidth="1"/>
    <col min="6399" max="6399" width="10.28515625" style="310" bestFit="1" customWidth="1"/>
    <col min="6400" max="6400" width="12.42578125" style="310" bestFit="1" customWidth="1"/>
    <col min="6401" max="6403" width="8.85546875" style="310"/>
    <col min="6404" max="6404" width="12.7109375" style="310" customWidth="1"/>
    <col min="6405" max="6406" width="8.85546875" style="310"/>
    <col min="6407" max="6407" width="26.28515625" style="310" customWidth="1"/>
    <col min="6408" max="6408" width="15.140625" style="310" bestFit="1" customWidth="1"/>
    <col min="6409" max="6410" width="14.140625" style="310" bestFit="1" customWidth="1"/>
    <col min="6411" max="6411" width="13.7109375" style="310" bestFit="1" customWidth="1"/>
    <col min="6412" max="6414" width="12.42578125" style="310" bestFit="1" customWidth="1"/>
    <col min="6415" max="6415" width="10.42578125" style="310" bestFit="1" customWidth="1"/>
    <col min="6416" max="6653" width="8.85546875" style="310"/>
    <col min="6654" max="6654" width="27.7109375" style="310" customWidth="1"/>
    <col min="6655" max="6655" width="10.28515625" style="310" bestFit="1" customWidth="1"/>
    <col min="6656" max="6656" width="12.42578125" style="310" bestFit="1" customWidth="1"/>
    <col min="6657" max="6659" width="8.85546875" style="310"/>
    <col min="6660" max="6660" width="12.7109375" style="310" customWidth="1"/>
    <col min="6661" max="6662" width="8.85546875" style="310"/>
    <col min="6663" max="6663" width="26.28515625" style="310" customWidth="1"/>
    <col min="6664" max="6664" width="15.140625" style="310" bestFit="1" customWidth="1"/>
    <col min="6665" max="6666" width="14.140625" style="310" bestFit="1" customWidth="1"/>
    <col min="6667" max="6667" width="13.7109375" style="310" bestFit="1" customWidth="1"/>
    <col min="6668" max="6670" width="12.42578125" style="310" bestFit="1" customWidth="1"/>
    <col min="6671" max="6671" width="10.42578125" style="310" bestFit="1" customWidth="1"/>
    <col min="6672" max="6909" width="8.85546875" style="310"/>
    <col min="6910" max="6910" width="27.7109375" style="310" customWidth="1"/>
    <col min="6911" max="6911" width="10.28515625" style="310" bestFit="1" customWidth="1"/>
    <col min="6912" max="6912" width="12.42578125" style="310" bestFit="1" customWidth="1"/>
    <col min="6913" max="6915" width="8.85546875" style="310"/>
    <col min="6916" max="6916" width="12.7109375" style="310" customWidth="1"/>
    <col min="6917" max="6918" width="8.85546875" style="310"/>
    <col min="6919" max="6919" width="26.28515625" style="310" customWidth="1"/>
    <col min="6920" max="6920" width="15.140625" style="310" bestFit="1" customWidth="1"/>
    <col min="6921" max="6922" width="14.140625" style="310" bestFit="1" customWidth="1"/>
    <col min="6923" max="6923" width="13.7109375" style="310" bestFit="1" customWidth="1"/>
    <col min="6924" max="6926" width="12.42578125" style="310" bestFit="1" customWidth="1"/>
    <col min="6927" max="6927" width="10.42578125" style="310" bestFit="1" customWidth="1"/>
    <col min="6928" max="7165" width="8.85546875" style="310"/>
    <col min="7166" max="7166" width="27.7109375" style="310" customWidth="1"/>
    <col min="7167" max="7167" width="10.28515625" style="310" bestFit="1" customWidth="1"/>
    <col min="7168" max="7168" width="12.42578125" style="310" bestFit="1" customWidth="1"/>
    <col min="7169" max="7171" width="8.85546875" style="310"/>
    <col min="7172" max="7172" width="12.7109375" style="310" customWidth="1"/>
    <col min="7173" max="7174" width="8.85546875" style="310"/>
    <col min="7175" max="7175" width="26.28515625" style="310" customWidth="1"/>
    <col min="7176" max="7176" width="15.140625" style="310" bestFit="1" customWidth="1"/>
    <col min="7177" max="7178" width="14.140625" style="310" bestFit="1" customWidth="1"/>
    <col min="7179" max="7179" width="13.7109375" style="310" bestFit="1" customWidth="1"/>
    <col min="7180" max="7182" width="12.42578125" style="310" bestFit="1" customWidth="1"/>
    <col min="7183" max="7183" width="10.42578125" style="310" bestFit="1" customWidth="1"/>
    <col min="7184" max="7421" width="8.85546875" style="310"/>
    <col min="7422" max="7422" width="27.7109375" style="310" customWidth="1"/>
    <col min="7423" max="7423" width="10.28515625" style="310" bestFit="1" customWidth="1"/>
    <col min="7424" max="7424" width="12.42578125" style="310" bestFit="1" customWidth="1"/>
    <col min="7425" max="7427" width="8.85546875" style="310"/>
    <col min="7428" max="7428" width="12.7109375" style="310" customWidth="1"/>
    <col min="7429" max="7430" width="8.85546875" style="310"/>
    <col min="7431" max="7431" width="26.28515625" style="310" customWidth="1"/>
    <col min="7432" max="7432" width="15.140625" style="310" bestFit="1" customWidth="1"/>
    <col min="7433" max="7434" width="14.140625" style="310" bestFit="1" customWidth="1"/>
    <col min="7435" max="7435" width="13.7109375" style="310" bestFit="1" customWidth="1"/>
    <col min="7436" max="7438" width="12.42578125" style="310" bestFit="1" customWidth="1"/>
    <col min="7439" max="7439" width="10.42578125" style="310" bestFit="1" customWidth="1"/>
    <col min="7440" max="7677" width="8.85546875" style="310"/>
    <col min="7678" max="7678" width="27.7109375" style="310" customWidth="1"/>
    <col min="7679" max="7679" width="10.28515625" style="310" bestFit="1" customWidth="1"/>
    <col min="7680" max="7680" width="12.42578125" style="310" bestFit="1" customWidth="1"/>
    <col min="7681" max="7683" width="8.85546875" style="310"/>
    <col min="7684" max="7684" width="12.7109375" style="310" customWidth="1"/>
    <col min="7685" max="7686" width="8.85546875" style="310"/>
    <col min="7687" max="7687" width="26.28515625" style="310" customWidth="1"/>
    <col min="7688" max="7688" width="15.140625" style="310" bestFit="1" customWidth="1"/>
    <col min="7689" max="7690" width="14.140625" style="310" bestFit="1" customWidth="1"/>
    <col min="7691" max="7691" width="13.7109375" style="310" bestFit="1" customWidth="1"/>
    <col min="7692" max="7694" width="12.42578125" style="310" bestFit="1" customWidth="1"/>
    <col min="7695" max="7695" width="10.42578125" style="310" bestFit="1" customWidth="1"/>
    <col min="7696" max="7933" width="8.85546875" style="310"/>
    <col min="7934" max="7934" width="27.7109375" style="310" customWidth="1"/>
    <col min="7935" max="7935" width="10.28515625" style="310" bestFit="1" customWidth="1"/>
    <col min="7936" max="7936" width="12.42578125" style="310" bestFit="1" customWidth="1"/>
    <col min="7937" max="7939" width="8.85546875" style="310"/>
    <col min="7940" max="7940" width="12.7109375" style="310" customWidth="1"/>
    <col min="7941" max="7942" width="8.85546875" style="310"/>
    <col min="7943" max="7943" width="26.28515625" style="310" customWidth="1"/>
    <col min="7944" max="7944" width="15.140625" style="310" bestFit="1" customWidth="1"/>
    <col min="7945" max="7946" width="14.140625" style="310" bestFit="1" customWidth="1"/>
    <col min="7947" max="7947" width="13.7109375" style="310" bestFit="1" customWidth="1"/>
    <col min="7948" max="7950" width="12.42578125" style="310" bestFit="1" customWidth="1"/>
    <col min="7951" max="7951" width="10.42578125" style="310" bestFit="1" customWidth="1"/>
    <col min="7952" max="8189" width="8.85546875" style="310"/>
    <col min="8190" max="8190" width="27.7109375" style="310" customWidth="1"/>
    <col min="8191" max="8191" width="10.28515625" style="310" bestFit="1" customWidth="1"/>
    <col min="8192" max="8192" width="12.42578125" style="310" bestFit="1" customWidth="1"/>
    <col min="8193" max="8195" width="8.85546875" style="310"/>
    <col min="8196" max="8196" width="12.7109375" style="310" customWidth="1"/>
    <col min="8197" max="8198" width="8.85546875" style="310"/>
    <col min="8199" max="8199" width="26.28515625" style="310" customWidth="1"/>
    <col min="8200" max="8200" width="15.140625" style="310" bestFit="1" customWidth="1"/>
    <col min="8201" max="8202" width="14.140625" style="310" bestFit="1" customWidth="1"/>
    <col min="8203" max="8203" width="13.7109375" style="310" bestFit="1" customWidth="1"/>
    <col min="8204" max="8206" width="12.42578125" style="310" bestFit="1" customWidth="1"/>
    <col min="8207" max="8207" width="10.42578125" style="310" bestFit="1" customWidth="1"/>
    <col min="8208" max="8445" width="8.85546875" style="310"/>
    <col min="8446" max="8446" width="27.7109375" style="310" customWidth="1"/>
    <col min="8447" max="8447" width="10.28515625" style="310" bestFit="1" customWidth="1"/>
    <col min="8448" max="8448" width="12.42578125" style="310" bestFit="1" customWidth="1"/>
    <col min="8449" max="8451" width="8.85546875" style="310"/>
    <col min="8452" max="8452" width="12.7109375" style="310" customWidth="1"/>
    <col min="8453" max="8454" width="8.85546875" style="310"/>
    <col min="8455" max="8455" width="26.28515625" style="310" customWidth="1"/>
    <col min="8456" max="8456" width="15.140625" style="310" bestFit="1" customWidth="1"/>
    <col min="8457" max="8458" width="14.140625" style="310" bestFit="1" customWidth="1"/>
    <col min="8459" max="8459" width="13.7109375" style="310" bestFit="1" customWidth="1"/>
    <col min="8460" max="8462" width="12.42578125" style="310" bestFit="1" customWidth="1"/>
    <col min="8463" max="8463" width="10.42578125" style="310" bestFit="1" customWidth="1"/>
    <col min="8464" max="8701" width="8.85546875" style="310"/>
    <col min="8702" max="8702" width="27.7109375" style="310" customWidth="1"/>
    <col min="8703" max="8703" width="10.28515625" style="310" bestFit="1" customWidth="1"/>
    <col min="8704" max="8704" width="12.42578125" style="310" bestFit="1" customWidth="1"/>
    <col min="8705" max="8707" width="8.85546875" style="310"/>
    <col min="8708" max="8708" width="12.7109375" style="310" customWidth="1"/>
    <col min="8709" max="8710" width="8.85546875" style="310"/>
    <col min="8711" max="8711" width="26.28515625" style="310" customWidth="1"/>
    <col min="8712" max="8712" width="15.140625" style="310" bestFit="1" customWidth="1"/>
    <col min="8713" max="8714" width="14.140625" style="310" bestFit="1" customWidth="1"/>
    <col min="8715" max="8715" width="13.7109375" style="310" bestFit="1" customWidth="1"/>
    <col min="8716" max="8718" width="12.42578125" style="310" bestFit="1" customWidth="1"/>
    <col min="8719" max="8719" width="10.42578125" style="310" bestFit="1" customWidth="1"/>
    <col min="8720" max="8957" width="8.85546875" style="310"/>
    <col min="8958" max="8958" width="27.7109375" style="310" customWidth="1"/>
    <col min="8959" max="8959" width="10.28515625" style="310" bestFit="1" customWidth="1"/>
    <col min="8960" max="8960" width="12.42578125" style="310" bestFit="1" customWidth="1"/>
    <col min="8961" max="8963" width="8.85546875" style="310"/>
    <col min="8964" max="8964" width="12.7109375" style="310" customWidth="1"/>
    <col min="8965" max="8966" width="8.85546875" style="310"/>
    <col min="8967" max="8967" width="26.28515625" style="310" customWidth="1"/>
    <col min="8968" max="8968" width="15.140625" style="310" bestFit="1" customWidth="1"/>
    <col min="8969" max="8970" width="14.140625" style="310" bestFit="1" customWidth="1"/>
    <col min="8971" max="8971" width="13.7109375" style="310" bestFit="1" customWidth="1"/>
    <col min="8972" max="8974" width="12.42578125" style="310" bestFit="1" customWidth="1"/>
    <col min="8975" max="8975" width="10.42578125" style="310" bestFit="1" customWidth="1"/>
    <col min="8976" max="9213" width="8.85546875" style="310"/>
    <col min="9214" max="9214" width="27.7109375" style="310" customWidth="1"/>
    <col min="9215" max="9215" width="10.28515625" style="310" bestFit="1" customWidth="1"/>
    <col min="9216" max="9216" width="12.42578125" style="310" bestFit="1" customWidth="1"/>
    <col min="9217" max="9219" width="8.85546875" style="310"/>
    <col min="9220" max="9220" width="12.7109375" style="310" customWidth="1"/>
    <col min="9221" max="9222" width="8.85546875" style="310"/>
    <col min="9223" max="9223" width="26.28515625" style="310" customWidth="1"/>
    <col min="9224" max="9224" width="15.140625" style="310" bestFit="1" customWidth="1"/>
    <col min="9225" max="9226" width="14.140625" style="310" bestFit="1" customWidth="1"/>
    <col min="9227" max="9227" width="13.7109375" style="310" bestFit="1" customWidth="1"/>
    <col min="9228" max="9230" width="12.42578125" style="310" bestFit="1" customWidth="1"/>
    <col min="9231" max="9231" width="10.42578125" style="310" bestFit="1" customWidth="1"/>
    <col min="9232" max="9469" width="8.85546875" style="310"/>
    <col min="9470" max="9470" width="27.7109375" style="310" customWidth="1"/>
    <col min="9471" max="9471" width="10.28515625" style="310" bestFit="1" customWidth="1"/>
    <col min="9472" max="9472" width="12.42578125" style="310" bestFit="1" customWidth="1"/>
    <col min="9473" max="9475" width="8.85546875" style="310"/>
    <col min="9476" max="9476" width="12.7109375" style="310" customWidth="1"/>
    <col min="9477" max="9478" width="8.85546875" style="310"/>
    <col min="9479" max="9479" width="26.28515625" style="310" customWidth="1"/>
    <col min="9480" max="9480" width="15.140625" style="310" bestFit="1" customWidth="1"/>
    <col min="9481" max="9482" width="14.140625" style="310" bestFit="1" customWidth="1"/>
    <col min="9483" max="9483" width="13.7109375" style="310" bestFit="1" customWidth="1"/>
    <col min="9484" max="9486" width="12.42578125" style="310" bestFit="1" customWidth="1"/>
    <col min="9487" max="9487" width="10.42578125" style="310" bestFit="1" customWidth="1"/>
    <col min="9488" max="9725" width="8.85546875" style="310"/>
    <col min="9726" max="9726" width="27.7109375" style="310" customWidth="1"/>
    <col min="9727" max="9727" width="10.28515625" style="310" bestFit="1" customWidth="1"/>
    <col min="9728" max="9728" width="12.42578125" style="310" bestFit="1" customWidth="1"/>
    <col min="9729" max="9731" width="8.85546875" style="310"/>
    <col min="9732" max="9732" width="12.7109375" style="310" customWidth="1"/>
    <col min="9733" max="9734" width="8.85546875" style="310"/>
    <col min="9735" max="9735" width="26.28515625" style="310" customWidth="1"/>
    <col min="9736" max="9736" width="15.140625" style="310" bestFit="1" customWidth="1"/>
    <col min="9737" max="9738" width="14.140625" style="310" bestFit="1" customWidth="1"/>
    <col min="9739" max="9739" width="13.7109375" style="310" bestFit="1" customWidth="1"/>
    <col min="9740" max="9742" width="12.42578125" style="310" bestFit="1" customWidth="1"/>
    <col min="9743" max="9743" width="10.42578125" style="310" bestFit="1" customWidth="1"/>
    <col min="9744" max="9981" width="8.85546875" style="310"/>
    <col min="9982" max="9982" width="27.7109375" style="310" customWidth="1"/>
    <col min="9983" max="9983" width="10.28515625" style="310" bestFit="1" customWidth="1"/>
    <col min="9984" max="9984" width="12.42578125" style="310" bestFit="1" customWidth="1"/>
    <col min="9985" max="9987" width="8.85546875" style="310"/>
    <col min="9988" max="9988" width="12.7109375" style="310" customWidth="1"/>
    <col min="9989" max="9990" width="8.85546875" style="310"/>
    <col min="9991" max="9991" width="26.28515625" style="310" customWidth="1"/>
    <col min="9992" max="9992" width="15.140625" style="310" bestFit="1" customWidth="1"/>
    <col min="9993" max="9994" width="14.140625" style="310" bestFit="1" customWidth="1"/>
    <col min="9995" max="9995" width="13.7109375" style="310" bestFit="1" customWidth="1"/>
    <col min="9996" max="9998" width="12.42578125" style="310" bestFit="1" customWidth="1"/>
    <col min="9999" max="9999" width="10.42578125" style="310" bestFit="1" customWidth="1"/>
    <col min="10000" max="10237" width="8.85546875" style="310"/>
    <col min="10238" max="10238" width="27.7109375" style="310" customWidth="1"/>
    <col min="10239" max="10239" width="10.28515625" style="310" bestFit="1" customWidth="1"/>
    <col min="10240" max="10240" width="12.42578125" style="310" bestFit="1" customWidth="1"/>
    <col min="10241" max="10243" width="8.85546875" style="310"/>
    <col min="10244" max="10244" width="12.7109375" style="310" customWidth="1"/>
    <col min="10245" max="10246" width="8.85546875" style="310"/>
    <col min="10247" max="10247" width="26.28515625" style="310" customWidth="1"/>
    <col min="10248" max="10248" width="15.140625" style="310" bestFit="1" customWidth="1"/>
    <col min="10249" max="10250" width="14.140625" style="310" bestFit="1" customWidth="1"/>
    <col min="10251" max="10251" width="13.7109375" style="310" bestFit="1" customWidth="1"/>
    <col min="10252" max="10254" width="12.42578125" style="310" bestFit="1" customWidth="1"/>
    <col min="10255" max="10255" width="10.42578125" style="310" bestFit="1" customWidth="1"/>
    <col min="10256" max="10493" width="8.85546875" style="310"/>
    <col min="10494" max="10494" width="27.7109375" style="310" customWidth="1"/>
    <col min="10495" max="10495" width="10.28515625" style="310" bestFit="1" customWidth="1"/>
    <col min="10496" max="10496" width="12.42578125" style="310" bestFit="1" customWidth="1"/>
    <col min="10497" max="10499" width="8.85546875" style="310"/>
    <col min="10500" max="10500" width="12.7109375" style="310" customWidth="1"/>
    <col min="10501" max="10502" width="8.85546875" style="310"/>
    <col min="10503" max="10503" width="26.28515625" style="310" customWidth="1"/>
    <col min="10504" max="10504" width="15.140625" style="310" bestFit="1" customWidth="1"/>
    <col min="10505" max="10506" width="14.140625" style="310" bestFit="1" customWidth="1"/>
    <col min="10507" max="10507" width="13.7109375" style="310" bestFit="1" customWidth="1"/>
    <col min="10508" max="10510" width="12.42578125" style="310" bestFit="1" customWidth="1"/>
    <col min="10511" max="10511" width="10.42578125" style="310" bestFit="1" customWidth="1"/>
    <col min="10512" max="10749" width="8.85546875" style="310"/>
    <col min="10750" max="10750" width="27.7109375" style="310" customWidth="1"/>
    <col min="10751" max="10751" width="10.28515625" style="310" bestFit="1" customWidth="1"/>
    <col min="10752" max="10752" width="12.42578125" style="310" bestFit="1" customWidth="1"/>
    <col min="10753" max="10755" width="8.85546875" style="310"/>
    <col min="10756" max="10756" width="12.7109375" style="310" customWidth="1"/>
    <col min="10757" max="10758" width="8.85546875" style="310"/>
    <col min="10759" max="10759" width="26.28515625" style="310" customWidth="1"/>
    <col min="10760" max="10760" width="15.140625" style="310" bestFit="1" customWidth="1"/>
    <col min="10761" max="10762" width="14.140625" style="310" bestFit="1" customWidth="1"/>
    <col min="10763" max="10763" width="13.7109375" style="310" bestFit="1" customWidth="1"/>
    <col min="10764" max="10766" width="12.42578125" style="310" bestFit="1" customWidth="1"/>
    <col min="10767" max="10767" width="10.42578125" style="310" bestFit="1" customWidth="1"/>
    <col min="10768" max="11005" width="8.85546875" style="310"/>
    <col min="11006" max="11006" width="27.7109375" style="310" customWidth="1"/>
    <col min="11007" max="11007" width="10.28515625" style="310" bestFit="1" customWidth="1"/>
    <col min="11008" max="11008" width="12.42578125" style="310" bestFit="1" customWidth="1"/>
    <col min="11009" max="11011" width="8.85546875" style="310"/>
    <col min="11012" max="11012" width="12.7109375" style="310" customWidth="1"/>
    <col min="11013" max="11014" width="8.85546875" style="310"/>
    <col min="11015" max="11015" width="26.28515625" style="310" customWidth="1"/>
    <col min="11016" max="11016" width="15.140625" style="310" bestFit="1" customWidth="1"/>
    <col min="11017" max="11018" width="14.140625" style="310" bestFit="1" customWidth="1"/>
    <col min="11019" max="11019" width="13.7109375" style="310" bestFit="1" customWidth="1"/>
    <col min="11020" max="11022" width="12.42578125" style="310" bestFit="1" customWidth="1"/>
    <col min="11023" max="11023" width="10.42578125" style="310" bestFit="1" customWidth="1"/>
    <col min="11024" max="11261" width="8.85546875" style="310"/>
    <col min="11262" max="11262" width="27.7109375" style="310" customWidth="1"/>
    <col min="11263" max="11263" width="10.28515625" style="310" bestFit="1" customWidth="1"/>
    <col min="11264" max="11264" width="12.42578125" style="310" bestFit="1" customWidth="1"/>
    <col min="11265" max="11267" width="8.85546875" style="310"/>
    <col min="11268" max="11268" width="12.7109375" style="310" customWidth="1"/>
    <col min="11269" max="11270" width="8.85546875" style="310"/>
    <col min="11271" max="11271" width="26.28515625" style="310" customWidth="1"/>
    <col min="11272" max="11272" width="15.140625" style="310" bestFit="1" customWidth="1"/>
    <col min="11273" max="11274" width="14.140625" style="310" bestFit="1" customWidth="1"/>
    <col min="11275" max="11275" width="13.7109375" style="310" bestFit="1" customWidth="1"/>
    <col min="11276" max="11278" width="12.42578125" style="310" bestFit="1" customWidth="1"/>
    <col min="11279" max="11279" width="10.42578125" style="310" bestFit="1" customWidth="1"/>
    <col min="11280" max="11517" width="8.85546875" style="310"/>
    <col min="11518" max="11518" width="27.7109375" style="310" customWidth="1"/>
    <col min="11519" max="11519" width="10.28515625" style="310" bestFit="1" customWidth="1"/>
    <col min="11520" max="11520" width="12.42578125" style="310" bestFit="1" customWidth="1"/>
    <col min="11521" max="11523" width="8.85546875" style="310"/>
    <col min="11524" max="11524" width="12.7109375" style="310" customWidth="1"/>
    <col min="11525" max="11526" width="8.85546875" style="310"/>
    <col min="11527" max="11527" width="26.28515625" style="310" customWidth="1"/>
    <col min="11528" max="11528" width="15.140625" style="310" bestFit="1" customWidth="1"/>
    <col min="11529" max="11530" width="14.140625" style="310" bestFit="1" customWidth="1"/>
    <col min="11531" max="11531" width="13.7109375" style="310" bestFit="1" customWidth="1"/>
    <col min="11532" max="11534" width="12.42578125" style="310" bestFit="1" customWidth="1"/>
    <col min="11535" max="11535" width="10.42578125" style="310" bestFit="1" customWidth="1"/>
    <col min="11536" max="11773" width="8.85546875" style="310"/>
    <col min="11774" max="11774" width="27.7109375" style="310" customWidth="1"/>
    <col min="11775" max="11775" width="10.28515625" style="310" bestFit="1" customWidth="1"/>
    <col min="11776" max="11776" width="12.42578125" style="310" bestFit="1" customWidth="1"/>
    <col min="11777" max="11779" width="8.85546875" style="310"/>
    <col min="11780" max="11780" width="12.7109375" style="310" customWidth="1"/>
    <col min="11781" max="11782" width="8.85546875" style="310"/>
    <col min="11783" max="11783" width="26.28515625" style="310" customWidth="1"/>
    <col min="11784" max="11784" width="15.140625" style="310" bestFit="1" customWidth="1"/>
    <col min="11785" max="11786" width="14.140625" style="310" bestFit="1" customWidth="1"/>
    <col min="11787" max="11787" width="13.7109375" style="310" bestFit="1" customWidth="1"/>
    <col min="11788" max="11790" width="12.42578125" style="310" bestFit="1" customWidth="1"/>
    <col min="11791" max="11791" width="10.42578125" style="310" bestFit="1" customWidth="1"/>
    <col min="11792" max="12029" width="8.85546875" style="310"/>
    <col min="12030" max="12030" width="27.7109375" style="310" customWidth="1"/>
    <col min="12031" max="12031" width="10.28515625" style="310" bestFit="1" customWidth="1"/>
    <col min="12032" max="12032" width="12.42578125" style="310" bestFit="1" customWidth="1"/>
    <col min="12033" max="12035" width="8.85546875" style="310"/>
    <col min="12036" max="12036" width="12.7109375" style="310" customWidth="1"/>
    <col min="12037" max="12038" width="8.85546875" style="310"/>
    <col min="12039" max="12039" width="26.28515625" style="310" customWidth="1"/>
    <col min="12040" max="12040" width="15.140625" style="310" bestFit="1" customWidth="1"/>
    <col min="12041" max="12042" width="14.140625" style="310" bestFit="1" customWidth="1"/>
    <col min="12043" max="12043" width="13.7109375" style="310" bestFit="1" customWidth="1"/>
    <col min="12044" max="12046" width="12.42578125" style="310" bestFit="1" customWidth="1"/>
    <col min="12047" max="12047" width="10.42578125" style="310" bestFit="1" customWidth="1"/>
    <col min="12048" max="12285" width="8.85546875" style="310"/>
    <col min="12286" max="12286" width="27.7109375" style="310" customWidth="1"/>
    <col min="12287" max="12287" width="10.28515625" style="310" bestFit="1" customWidth="1"/>
    <col min="12288" max="12288" width="12.42578125" style="310" bestFit="1" customWidth="1"/>
    <col min="12289" max="12291" width="8.85546875" style="310"/>
    <col min="12292" max="12292" width="12.7109375" style="310" customWidth="1"/>
    <col min="12293" max="12294" width="8.85546875" style="310"/>
    <col min="12295" max="12295" width="26.28515625" style="310" customWidth="1"/>
    <col min="12296" max="12296" width="15.140625" style="310" bestFit="1" customWidth="1"/>
    <col min="12297" max="12298" width="14.140625" style="310" bestFit="1" customWidth="1"/>
    <col min="12299" max="12299" width="13.7109375" style="310" bestFit="1" customWidth="1"/>
    <col min="12300" max="12302" width="12.42578125" style="310" bestFit="1" customWidth="1"/>
    <col min="12303" max="12303" width="10.42578125" style="310" bestFit="1" customWidth="1"/>
    <col min="12304" max="12541" width="8.85546875" style="310"/>
    <col min="12542" max="12542" width="27.7109375" style="310" customWidth="1"/>
    <col min="12543" max="12543" width="10.28515625" style="310" bestFit="1" customWidth="1"/>
    <col min="12544" max="12544" width="12.42578125" style="310" bestFit="1" customWidth="1"/>
    <col min="12545" max="12547" width="8.85546875" style="310"/>
    <col min="12548" max="12548" width="12.7109375" style="310" customWidth="1"/>
    <col min="12549" max="12550" width="8.85546875" style="310"/>
    <col min="12551" max="12551" width="26.28515625" style="310" customWidth="1"/>
    <col min="12552" max="12552" width="15.140625" style="310" bestFit="1" customWidth="1"/>
    <col min="12553" max="12554" width="14.140625" style="310" bestFit="1" customWidth="1"/>
    <col min="12555" max="12555" width="13.7109375" style="310" bestFit="1" customWidth="1"/>
    <col min="12556" max="12558" width="12.42578125" style="310" bestFit="1" customWidth="1"/>
    <col min="12559" max="12559" width="10.42578125" style="310" bestFit="1" customWidth="1"/>
    <col min="12560" max="12797" width="8.85546875" style="310"/>
    <col min="12798" max="12798" width="27.7109375" style="310" customWidth="1"/>
    <col min="12799" max="12799" width="10.28515625" style="310" bestFit="1" customWidth="1"/>
    <col min="12800" max="12800" width="12.42578125" style="310" bestFit="1" customWidth="1"/>
    <col min="12801" max="12803" width="8.85546875" style="310"/>
    <col min="12804" max="12804" width="12.7109375" style="310" customWidth="1"/>
    <col min="12805" max="12806" width="8.85546875" style="310"/>
    <col min="12807" max="12807" width="26.28515625" style="310" customWidth="1"/>
    <col min="12808" max="12808" width="15.140625" style="310" bestFit="1" customWidth="1"/>
    <col min="12809" max="12810" width="14.140625" style="310" bestFit="1" customWidth="1"/>
    <col min="12811" max="12811" width="13.7109375" style="310" bestFit="1" customWidth="1"/>
    <col min="12812" max="12814" width="12.42578125" style="310" bestFit="1" customWidth="1"/>
    <col min="12815" max="12815" width="10.42578125" style="310" bestFit="1" customWidth="1"/>
    <col min="12816" max="13053" width="8.85546875" style="310"/>
    <col min="13054" max="13054" width="27.7109375" style="310" customWidth="1"/>
    <col min="13055" max="13055" width="10.28515625" style="310" bestFit="1" customWidth="1"/>
    <col min="13056" max="13056" width="12.42578125" style="310" bestFit="1" customWidth="1"/>
    <col min="13057" max="13059" width="8.85546875" style="310"/>
    <col min="13060" max="13060" width="12.7109375" style="310" customWidth="1"/>
    <col min="13061" max="13062" width="8.85546875" style="310"/>
    <col min="13063" max="13063" width="26.28515625" style="310" customWidth="1"/>
    <col min="13064" max="13064" width="15.140625" style="310" bestFit="1" customWidth="1"/>
    <col min="13065" max="13066" width="14.140625" style="310" bestFit="1" customWidth="1"/>
    <col min="13067" max="13067" width="13.7109375" style="310" bestFit="1" customWidth="1"/>
    <col min="13068" max="13070" width="12.42578125" style="310" bestFit="1" customWidth="1"/>
    <col min="13071" max="13071" width="10.42578125" style="310" bestFit="1" customWidth="1"/>
    <col min="13072" max="13309" width="8.85546875" style="310"/>
    <col min="13310" max="13310" width="27.7109375" style="310" customWidth="1"/>
    <col min="13311" max="13311" width="10.28515625" style="310" bestFit="1" customWidth="1"/>
    <col min="13312" max="13312" width="12.42578125" style="310" bestFit="1" customWidth="1"/>
    <col min="13313" max="13315" width="8.85546875" style="310"/>
    <col min="13316" max="13316" width="12.7109375" style="310" customWidth="1"/>
    <col min="13317" max="13318" width="8.85546875" style="310"/>
    <col min="13319" max="13319" width="26.28515625" style="310" customWidth="1"/>
    <col min="13320" max="13320" width="15.140625" style="310" bestFit="1" customWidth="1"/>
    <col min="13321" max="13322" width="14.140625" style="310" bestFit="1" customWidth="1"/>
    <col min="13323" max="13323" width="13.7109375" style="310" bestFit="1" customWidth="1"/>
    <col min="13324" max="13326" width="12.42578125" style="310" bestFit="1" customWidth="1"/>
    <col min="13327" max="13327" width="10.42578125" style="310" bestFit="1" customWidth="1"/>
    <col min="13328" max="13565" width="8.85546875" style="310"/>
    <col min="13566" max="13566" width="27.7109375" style="310" customWidth="1"/>
    <col min="13567" max="13567" width="10.28515625" style="310" bestFit="1" customWidth="1"/>
    <col min="13568" max="13568" width="12.42578125" style="310" bestFit="1" customWidth="1"/>
    <col min="13569" max="13571" width="8.85546875" style="310"/>
    <col min="13572" max="13572" width="12.7109375" style="310" customWidth="1"/>
    <col min="13573" max="13574" width="8.85546875" style="310"/>
    <col min="13575" max="13575" width="26.28515625" style="310" customWidth="1"/>
    <col min="13576" max="13576" width="15.140625" style="310" bestFit="1" customWidth="1"/>
    <col min="13577" max="13578" width="14.140625" style="310" bestFit="1" customWidth="1"/>
    <col min="13579" max="13579" width="13.7109375" style="310" bestFit="1" customWidth="1"/>
    <col min="13580" max="13582" width="12.42578125" style="310" bestFit="1" customWidth="1"/>
    <col min="13583" max="13583" width="10.42578125" style="310" bestFit="1" customWidth="1"/>
    <col min="13584" max="13821" width="8.85546875" style="310"/>
    <col min="13822" max="13822" width="27.7109375" style="310" customWidth="1"/>
    <col min="13823" max="13823" width="10.28515625" style="310" bestFit="1" customWidth="1"/>
    <col min="13824" max="13824" width="12.42578125" style="310" bestFit="1" customWidth="1"/>
    <col min="13825" max="13827" width="8.85546875" style="310"/>
    <col min="13828" max="13828" width="12.7109375" style="310" customWidth="1"/>
    <col min="13829" max="13830" width="8.85546875" style="310"/>
    <col min="13831" max="13831" width="26.28515625" style="310" customWidth="1"/>
    <col min="13832" max="13832" width="15.140625" style="310" bestFit="1" customWidth="1"/>
    <col min="13833" max="13834" width="14.140625" style="310" bestFit="1" customWidth="1"/>
    <col min="13835" max="13835" width="13.7109375" style="310" bestFit="1" customWidth="1"/>
    <col min="13836" max="13838" width="12.42578125" style="310" bestFit="1" customWidth="1"/>
    <col min="13839" max="13839" width="10.42578125" style="310" bestFit="1" customWidth="1"/>
    <col min="13840" max="14077" width="8.85546875" style="310"/>
    <col min="14078" max="14078" width="27.7109375" style="310" customWidth="1"/>
    <col min="14079" max="14079" width="10.28515625" style="310" bestFit="1" customWidth="1"/>
    <col min="14080" max="14080" width="12.42578125" style="310" bestFit="1" customWidth="1"/>
    <col min="14081" max="14083" width="8.85546875" style="310"/>
    <col min="14084" max="14084" width="12.7109375" style="310" customWidth="1"/>
    <col min="14085" max="14086" width="8.85546875" style="310"/>
    <col min="14087" max="14087" width="26.28515625" style="310" customWidth="1"/>
    <col min="14088" max="14088" width="15.140625" style="310" bestFit="1" customWidth="1"/>
    <col min="14089" max="14090" width="14.140625" style="310" bestFit="1" customWidth="1"/>
    <col min="14091" max="14091" width="13.7109375" style="310" bestFit="1" customWidth="1"/>
    <col min="14092" max="14094" width="12.42578125" style="310" bestFit="1" customWidth="1"/>
    <col min="14095" max="14095" width="10.42578125" style="310" bestFit="1" customWidth="1"/>
    <col min="14096" max="14333" width="8.85546875" style="310"/>
    <col min="14334" max="14334" width="27.7109375" style="310" customWidth="1"/>
    <col min="14335" max="14335" width="10.28515625" style="310" bestFit="1" customWidth="1"/>
    <col min="14336" max="14336" width="12.42578125" style="310" bestFit="1" customWidth="1"/>
    <col min="14337" max="14339" width="8.85546875" style="310"/>
    <col min="14340" max="14340" width="12.7109375" style="310" customWidth="1"/>
    <col min="14341" max="14342" width="8.85546875" style="310"/>
    <col min="14343" max="14343" width="26.28515625" style="310" customWidth="1"/>
    <col min="14344" max="14344" width="15.140625" style="310" bestFit="1" customWidth="1"/>
    <col min="14345" max="14346" width="14.140625" style="310" bestFit="1" customWidth="1"/>
    <col min="14347" max="14347" width="13.7109375" style="310" bestFit="1" customWidth="1"/>
    <col min="14348" max="14350" width="12.42578125" style="310" bestFit="1" customWidth="1"/>
    <col min="14351" max="14351" width="10.42578125" style="310" bestFit="1" customWidth="1"/>
    <col min="14352" max="14589" width="8.85546875" style="310"/>
    <col min="14590" max="14590" width="27.7109375" style="310" customWidth="1"/>
    <col min="14591" max="14591" width="10.28515625" style="310" bestFit="1" customWidth="1"/>
    <col min="14592" max="14592" width="12.42578125" style="310" bestFit="1" customWidth="1"/>
    <col min="14593" max="14595" width="8.85546875" style="310"/>
    <col min="14596" max="14596" width="12.7109375" style="310" customWidth="1"/>
    <col min="14597" max="14598" width="8.85546875" style="310"/>
    <col min="14599" max="14599" width="26.28515625" style="310" customWidth="1"/>
    <col min="14600" max="14600" width="15.140625" style="310" bestFit="1" customWidth="1"/>
    <col min="14601" max="14602" width="14.140625" style="310" bestFit="1" customWidth="1"/>
    <col min="14603" max="14603" width="13.7109375" style="310" bestFit="1" customWidth="1"/>
    <col min="14604" max="14606" width="12.42578125" style="310" bestFit="1" customWidth="1"/>
    <col min="14607" max="14607" width="10.42578125" style="310" bestFit="1" customWidth="1"/>
    <col min="14608" max="14845" width="8.85546875" style="310"/>
    <col min="14846" max="14846" width="27.7109375" style="310" customWidth="1"/>
    <col min="14847" max="14847" width="10.28515625" style="310" bestFit="1" customWidth="1"/>
    <col min="14848" max="14848" width="12.42578125" style="310" bestFit="1" customWidth="1"/>
    <col min="14849" max="14851" width="8.85546875" style="310"/>
    <col min="14852" max="14852" width="12.7109375" style="310" customWidth="1"/>
    <col min="14853" max="14854" width="8.85546875" style="310"/>
    <col min="14855" max="14855" width="26.28515625" style="310" customWidth="1"/>
    <col min="14856" max="14856" width="15.140625" style="310" bestFit="1" customWidth="1"/>
    <col min="14857" max="14858" width="14.140625" style="310" bestFit="1" customWidth="1"/>
    <col min="14859" max="14859" width="13.7109375" style="310" bestFit="1" customWidth="1"/>
    <col min="14860" max="14862" width="12.42578125" style="310" bestFit="1" customWidth="1"/>
    <col min="14863" max="14863" width="10.42578125" style="310" bestFit="1" customWidth="1"/>
    <col min="14864" max="15101" width="8.85546875" style="310"/>
    <col min="15102" max="15102" width="27.7109375" style="310" customWidth="1"/>
    <col min="15103" max="15103" width="10.28515625" style="310" bestFit="1" customWidth="1"/>
    <col min="15104" max="15104" width="12.42578125" style="310" bestFit="1" customWidth="1"/>
    <col min="15105" max="15107" width="8.85546875" style="310"/>
    <col min="15108" max="15108" width="12.7109375" style="310" customWidth="1"/>
    <col min="15109" max="15110" width="8.85546875" style="310"/>
    <col min="15111" max="15111" width="26.28515625" style="310" customWidth="1"/>
    <col min="15112" max="15112" width="15.140625" style="310" bestFit="1" customWidth="1"/>
    <col min="15113" max="15114" width="14.140625" style="310" bestFit="1" customWidth="1"/>
    <col min="15115" max="15115" width="13.7109375" style="310" bestFit="1" customWidth="1"/>
    <col min="15116" max="15118" width="12.42578125" style="310" bestFit="1" customWidth="1"/>
    <col min="15119" max="15119" width="10.42578125" style="310" bestFit="1" customWidth="1"/>
    <col min="15120" max="15357" width="8.85546875" style="310"/>
    <col min="15358" max="15358" width="27.7109375" style="310" customWidth="1"/>
    <col min="15359" max="15359" width="10.28515625" style="310" bestFit="1" customWidth="1"/>
    <col min="15360" max="15360" width="12.42578125" style="310" bestFit="1" customWidth="1"/>
    <col min="15361" max="15363" width="8.85546875" style="310"/>
    <col min="15364" max="15364" width="12.7109375" style="310" customWidth="1"/>
    <col min="15365" max="15366" width="8.85546875" style="310"/>
    <col min="15367" max="15367" width="26.28515625" style="310" customWidth="1"/>
    <col min="15368" max="15368" width="15.140625" style="310" bestFit="1" customWidth="1"/>
    <col min="15369" max="15370" width="14.140625" style="310" bestFit="1" customWidth="1"/>
    <col min="15371" max="15371" width="13.7109375" style="310" bestFit="1" customWidth="1"/>
    <col min="15372" max="15374" width="12.42578125" style="310" bestFit="1" customWidth="1"/>
    <col min="15375" max="15375" width="10.42578125" style="310" bestFit="1" customWidth="1"/>
    <col min="15376" max="15613" width="8.85546875" style="310"/>
    <col min="15614" max="15614" width="27.7109375" style="310" customWidth="1"/>
    <col min="15615" max="15615" width="10.28515625" style="310" bestFit="1" customWidth="1"/>
    <col min="15616" max="15616" width="12.42578125" style="310" bestFit="1" customWidth="1"/>
    <col min="15617" max="15619" width="8.85546875" style="310"/>
    <col min="15620" max="15620" width="12.7109375" style="310" customWidth="1"/>
    <col min="15621" max="15622" width="8.85546875" style="310"/>
    <col min="15623" max="15623" width="26.28515625" style="310" customWidth="1"/>
    <col min="15624" max="15624" width="15.140625" style="310" bestFit="1" customWidth="1"/>
    <col min="15625" max="15626" width="14.140625" style="310" bestFit="1" customWidth="1"/>
    <col min="15627" max="15627" width="13.7109375" style="310" bestFit="1" customWidth="1"/>
    <col min="15628" max="15630" width="12.42578125" style="310" bestFit="1" customWidth="1"/>
    <col min="15631" max="15631" width="10.42578125" style="310" bestFit="1" customWidth="1"/>
    <col min="15632" max="15869" width="8.85546875" style="310"/>
    <col min="15870" max="15870" width="27.7109375" style="310" customWidth="1"/>
    <col min="15871" max="15871" width="10.28515625" style="310" bestFit="1" customWidth="1"/>
    <col min="15872" max="15872" width="12.42578125" style="310" bestFit="1" customWidth="1"/>
    <col min="15873" max="15875" width="8.85546875" style="310"/>
    <col min="15876" max="15876" width="12.7109375" style="310" customWidth="1"/>
    <col min="15877" max="15878" width="8.85546875" style="310"/>
    <col min="15879" max="15879" width="26.28515625" style="310" customWidth="1"/>
    <col min="15880" max="15880" width="15.140625" style="310" bestFit="1" customWidth="1"/>
    <col min="15881" max="15882" width="14.140625" style="310" bestFit="1" customWidth="1"/>
    <col min="15883" max="15883" width="13.7109375" style="310" bestFit="1" customWidth="1"/>
    <col min="15884" max="15886" width="12.42578125" style="310" bestFit="1" customWidth="1"/>
    <col min="15887" max="15887" width="10.42578125" style="310" bestFit="1" customWidth="1"/>
    <col min="15888" max="16125" width="8.85546875" style="310"/>
    <col min="16126" max="16126" width="27.7109375" style="310" customWidth="1"/>
    <col min="16127" max="16127" width="10.28515625" style="310" bestFit="1" customWidth="1"/>
    <col min="16128" max="16128" width="12.42578125" style="310" bestFit="1" customWidth="1"/>
    <col min="16129" max="16131" width="8.85546875" style="310"/>
    <col min="16132" max="16132" width="12.7109375" style="310" customWidth="1"/>
    <col min="16133" max="16134" width="8.85546875" style="310"/>
    <col min="16135" max="16135" width="26.28515625" style="310" customWidth="1"/>
    <col min="16136" max="16136" width="15.140625" style="310" bestFit="1" customWidth="1"/>
    <col min="16137" max="16138" width="14.140625" style="310" bestFit="1" customWidth="1"/>
    <col min="16139" max="16139" width="13.7109375" style="310" bestFit="1" customWidth="1"/>
    <col min="16140" max="16142" width="12.42578125" style="310" bestFit="1" customWidth="1"/>
    <col min="16143" max="16143" width="10.42578125" style="310" bestFit="1" customWidth="1"/>
    <col min="16144" max="16384" width="8.85546875" style="310"/>
  </cols>
  <sheetData>
    <row r="1" spans="1:17">
      <c r="G1" s="784" t="s">
        <v>15</v>
      </c>
      <c r="H1" s="785"/>
      <c r="I1" s="299" t="s">
        <v>706</v>
      </c>
      <c r="J1" s="343" t="s">
        <v>707</v>
      </c>
      <c r="K1" s="344" t="s">
        <v>710</v>
      </c>
      <c r="L1" s="344" t="s">
        <v>708</v>
      </c>
    </row>
    <row r="2" spans="1:17">
      <c r="A2" s="310" t="s">
        <v>261</v>
      </c>
      <c r="B2" s="312" t="s">
        <v>185</v>
      </c>
      <c r="C2" s="313">
        <v>18150000</v>
      </c>
      <c r="D2" s="314" t="s">
        <v>711</v>
      </c>
      <c r="G2" s="315" t="s">
        <v>261</v>
      </c>
      <c r="H2" s="316">
        <v>18150000</v>
      </c>
      <c r="I2" s="317">
        <f>SUMIF($A$2:$A$43,G2,$C$2:$C$43)</f>
        <v>18150000</v>
      </c>
      <c r="J2" s="311">
        <f>SUMIF([1]Sheet2!$B$2:$B$26,[1]BO!J2,[1]Sheet2!$G$2:$G$26)</f>
        <v>18150000</v>
      </c>
      <c r="K2" s="301">
        <f t="shared" ref="K2:K18" si="0">H2-J2</f>
        <v>0</v>
      </c>
      <c r="L2" s="311"/>
      <c r="N2" s="318"/>
      <c r="O2" s="318"/>
    </row>
    <row r="3" spans="1:17">
      <c r="A3" s="310" t="s">
        <v>263</v>
      </c>
      <c r="B3" s="312" t="s">
        <v>712</v>
      </c>
      <c r="C3" s="313">
        <v>1210000</v>
      </c>
      <c r="D3" s="314" t="s">
        <v>713</v>
      </c>
      <c r="G3" s="315" t="str">
        <f>+A37</f>
        <v>102-р сургууль</v>
      </c>
      <c r="H3" s="319"/>
      <c r="I3" s="317">
        <f>SUMIF($A$2:$A$43,G3,$C$2:$C$43)</f>
        <v>3600000</v>
      </c>
      <c r="J3" s="311">
        <f>SUMIF([1]Sheet2!$B$2:$B$26,[1]BO!J3,[1]Sheet2!$G$2:$G$26)</f>
        <v>0</v>
      </c>
      <c r="K3" s="301">
        <v>3600000</v>
      </c>
      <c r="L3" s="311"/>
      <c r="N3" s="318"/>
      <c r="O3" s="318"/>
    </row>
    <row r="4" spans="1:17">
      <c r="A4" s="310" t="s">
        <v>263</v>
      </c>
      <c r="B4" s="312" t="s">
        <v>714</v>
      </c>
      <c r="C4" s="313">
        <v>31460000</v>
      </c>
      <c r="D4" s="314" t="s">
        <v>715</v>
      </c>
      <c r="G4" s="315" t="s">
        <v>265</v>
      </c>
      <c r="H4" s="316">
        <v>6050000</v>
      </c>
      <c r="I4" s="317">
        <f t="shared" ref="I4:I18" si="1">SUMIF($A$2:$A$43,G4,$C$2:$C$43)</f>
        <v>6050000</v>
      </c>
      <c r="J4" s="311">
        <f>SUMIF([1]Sheet2!$B$2:$B$26,[1]BO!J4,[1]Sheet2!$G$2:$G$26)</f>
        <v>6050000</v>
      </c>
      <c r="K4" s="301">
        <f t="shared" si="0"/>
        <v>0</v>
      </c>
      <c r="L4" s="311"/>
      <c r="N4" s="318"/>
      <c r="O4" s="318"/>
      <c r="P4" s="320" t="s">
        <v>677</v>
      </c>
      <c r="Q4" s="320" t="s">
        <v>678</v>
      </c>
    </row>
    <row r="5" spans="1:17">
      <c r="A5" s="310" t="s">
        <v>265</v>
      </c>
      <c r="B5" s="312" t="s">
        <v>716</v>
      </c>
      <c r="C5" s="313">
        <v>6050000</v>
      </c>
      <c r="D5" s="314" t="s">
        <v>717</v>
      </c>
      <c r="G5" s="315" t="s">
        <v>267</v>
      </c>
      <c r="H5" s="316">
        <v>1210000</v>
      </c>
      <c r="I5" s="317">
        <f t="shared" si="1"/>
        <v>0</v>
      </c>
      <c r="J5" s="311">
        <f>SUMIF([1]Sheet2!$B$2:$B$26,[1]BO!J5,[1]Sheet2!$G$2:$G$26)</f>
        <v>1210000</v>
      </c>
      <c r="K5" s="301">
        <f t="shared" si="0"/>
        <v>0</v>
      </c>
      <c r="L5" s="311">
        <v>1210000</v>
      </c>
      <c r="M5" s="321"/>
      <c r="N5" s="318"/>
      <c r="O5" s="318" t="s">
        <v>787</v>
      </c>
      <c r="P5" s="311">
        <f>H19+H27</f>
        <v>293550000</v>
      </c>
      <c r="Q5" s="311"/>
    </row>
    <row r="6" spans="1:17">
      <c r="A6" s="310" t="s">
        <v>269</v>
      </c>
      <c r="B6" s="312" t="s">
        <v>183</v>
      </c>
      <c r="C6" s="313">
        <v>1210000</v>
      </c>
      <c r="D6" s="314" t="s">
        <v>718</v>
      </c>
      <c r="F6" s="310">
        <v>1210000</v>
      </c>
      <c r="G6" s="315" t="str">
        <f>+A6</f>
        <v>Мега</v>
      </c>
      <c r="H6" s="322"/>
      <c r="I6" s="317">
        <f>SUMIF($A$2:$A$43,G6,$C$2:$C$43)</f>
        <v>1210000</v>
      </c>
      <c r="J6" s="311">
        <f>SUMIF([1]Sheet2!$B$2:$B$26,[1]BO!J6,[1]Sheet2!$G$2:$G$26)</f>
        <v>0</v>
      </c>
      <c r="K6" s="301">
        <f>F6-J6</f>
        <v>1210000</v>
      </c>
      <c r="L6" s="311"/>
      <c r="M6" s="321"/>
      <c r="N6" s="318"/>
      <c r="O6" s="318" t="s">
        <v>788</v>
      </c>
      <c r="P6" s="311"/>
      <c r="Q6" s="311">
        <f>290022000/1.1</f>
        <v>263656363.63636363</v>
      </c>
    </row>
    <row r="7" spans="1:17">
      <c r="A7" s="310" t="s">
        <v>272</v>
      </c>
      <c r="B7" s="312" t="s">
        <v>719</v>
      </c>
      <c r="C7" s="313">
        <v>5000000</v>
      </c>
      <c r="D7" s="314" t="s">
        <v>720</v>
      </c>
      <c r="G7" s="315" t="s">
        <v>272</v>
      </c>
      <c r="H7" s="316">
        <v>137930000</v>
      </c>
      <c r="I7" s="317">
        <f t="shared" si="1"/>
        <v>131980000</v>
      </c>
      <c r="J7" s="311">
        <f>SUMIF([1]Sheet2!$B$2:$B$26,[1]BO!J7,[1]Sheet2!$G$2:$G$26)</f>
        <v>137930000</v>
      </c>
      <c r="K7" s="301">
        <f t="shared" si="0"/>
        <v>0</v>
      </c>
      <c r="L7" s="311">
        <f>+H7-I7</f>
        <v>5950000</v>
      </c>
      <c r="M7" s="321"/>
      <c r="N7" s="318"/>
      <c r="O7" s="318" t="s">
        <v>124</v>
      </c>
      <c r="P7" s="311"/>
      <c r="Q7" s="311">
        <f>+Q6*0.1</f>
        <v>26365636.363636363</v>
      </c>
    </row>
    <row r="8" spans="1:17">
      <c r="A8" s="310" t="s">
        <v>272</v>
      </c>
      <c r="B8" s="312" t="s">
        <v>169</v>
      </c>
      <c r="C8" s="313">
        <v>5000000</v>
      </c>
      <c r="D8" s="314" t="s">
        <v>721</v>
      </c>
      <c r="G8" s="315" t="s">
        <v>277</v>
      </c>
      <c r="H8" s="316">
        <v>6130000</v>
      </c>
      <c r="I8" s="317">
        <f t="shared" si="1"/>
        <v>4870000</v>
      </c>
      <c r="J8" s="311">
        <f>SUMIF([1]Sheet2!$B$2:$B$26,[1]BO!J8,[1]Sheet2!$G$2:$G$26)</f>
        <v>6130000</v>
      </c>
      <c r="K8" s="301">
        <f t="shared" si="0"/>
        <v>0</v>
      </c>
      <c r="L8" s="311">
        <v>1260000</v>
      </c>
      <c r="M8" s="321"/>
      <c r="N8" s="318"/>
      <c r="O8" s="318"/>
      <c r="P8" s="311"/>
      <c r="Q8" s="311"/>
    </row>
    <row r="9" spans="1:17">
      <c r="A9" s="310" t="s">
        <v>272</v>
      </c>
      <c r="B9" s="312" t="s">
        <v>167</v>
      </c>
      <c r="C9" s="313">
        <v>1020000</v>
      </c>
      <c r="D9" s="314" t="s">
        <v>722</v>
      </c>
      <c r="G9" s="315"/>
      <c r="H9" s="323"/>
      <c r="I9" s="317">
        <f t="shared" si="1"/>
        <v>0</v>
      </c>
      <c r="J9" s="311">
        <f>SUMIF([1]Sheet2!$B$2:$B$26,[1]BO!J9,[1]Sheet2!$G$2:$G$26)</f>
        <v>0</v>
      </c>
      <c r="K9" s="301">
        <f t="shared" si="0"/>
        <v>0</v>
      </c>
      <c r="L9" s="311"/>
      <c r="M9" s="321"/>
      <c r="N9" s="318"/>
      <c r="O9" s="318" t="s">
        <v>374</v>
      </c>
      <c r="P9" s="311"/>
      <c r="Q9" s="311">
        <f>BM!M7+BM!Q5</f>
        <v>208402680.00624999</v>
      </c>
    </row>
    <row r="10" spans="1:17">
      <c r="A10" s="310" t="s">
        <v>272</v>
      </c>
      <c r="B10" s="324" t="s">
        <v>506</v>
      </c>
      <c r="C10" s="325">
        <v>10000000</v>
      </c>
      <c r="D10" s="314" t="s">
        <v>723</v>
      </c>
      <c r="F10" s="310">
        <v>2400000</v>
      </c>
      <c r="G10" s="315" t="s">
        <v>282</v>
      </c>
      <c r="H10" s="326">
        <v>1245000</v>
      </c>
      <c r="I10" s="317">
        <f t="shared" si="1"/>
        <v>1194500</v>
      </c>
      <c r="J10" s="311">
        <f>SUMIF([1]Sheet2!$B$2:$B$26,[1]BO!J10,[1]Sheet2!$G$2:$G$26)</f>
        <v>1245000</v>
      </c>
      <c r="K10" s="301">
        <f>+I10</f>
        <v>1194500</v>
      </c>
      <c r="L10" s="311">
        <v>1245000</v>
      </c>
      <c r="M10" s="321"/>
      <c r="N10" s="318"/>
      <c r="O10" s="318" t="s">
        <v>771</v>
      </c>
      <c r="P10" s="311">
        <f>+BM!Q5</f>
        <v>208257307.50624999</v>
      </c>
      <c r="Q10" s="311"/>
    </row>
    <row r="11" spans="1:17">
      <c r="A11" s="310" t="s">
        <v>263</v>
      </c>
      <c r="B11" s="324" t="s">
        <v>724</v>
      </c>
      <c r="C11" s="325">
        <v>18150000</v>
      </c>
      <c r="D11" s="314" t="s">
        <v>725</v>
      </c>
      <c r="G11" s="315" t="s">
        <v>301</v>
      </c>
      <c r="H11" s="316">
        <v>1200000</v>
      </c>
      <c r="I11" s="317">
        <f t="shared" si="1"/>
        <v>1200000</v>
      </c>
      <c r="J11" s="311">
        <f>SUMIF([1]Sheet2!$B$2:$B$26,[1]BO!J11,[1]Sheet2!$G$2:$G$26)</f>
        <v>1200000</v>
      </c>
      <c r="K11" s="301">
        <f t="shared" si="0"/>
        <v>0</v>
      </c>
      <c r="L11" s="311"/>
      <c r="M11" s="321"/>
      <c r="N11" s="318"/>
      <c r="O11" s="318" t="s">
        <v>790</v>
      </c>
      <c r="P11" s="311">
        <f>+BM!M7</f>
        <v>145372.5</v>
      </c>
      <c r="Q11" s="311"/>
    </row>
    <row r="12" spans="1:17">
      <c r="A12" s="310" t="s">
        <v>282</v>
      </c>
      <c r="B12" s="324" t="s">
        <v>726</v>
      </c>
      <c r="C12" s="325">
        <v>160000</v>
      </c>
      <c r="D12" s="314" t="s">
        <v>727</v>
      </c>
      <c r="F12" s="310">
        <v>1565000</v>
      </c>
      <c r="G12" s="315" t="s">
        <v>305</v>
      </c>
      <c r="H12" s="326"/>
      <c r="I12" s="317">
        <f t="shared" si="1"/>
        <v>1565000</v>
      </c>
      <c r="J12" s="311">
        <f>SUMIF([1]Sheet2!$B$2:$B$26,[1]BO!J12,[1]Sheet2!$G$2:$G$26)</f>
        <v>0</v>
      </c>
      <c r="K12" s="301">
        <f>F12-J12</f>
        <v>1565000</v>
      </c>
      <c r="L12" s="311"/>
      <c r="M12" s="321"/>
      <c r="N12" s="318"/>
      <c r="P12" s="311"/>
      <c r="Q12" s="311"/>
    </row>
    <row r="13" spans="1:17">
      <c r="A13" s="310" t="s">
        <v>282</v>
      </c>
      <c r="B13" s="324" t="s">
        <v>728</v>
      </c>
      <c r="C13" s="325">
        <v>217500</v>
      </c>
      <c r="D13" s="314" t="s">
        <v>729</v>
      </c>
      <c r="G13" s="315" t="s">
        <v>310</v>
      </c>
      <c r="H13" s="316">
        <v>3400000</v>
      </c>
      <c r="I13" s="317">
        <f t="shared" si="1"/>
        <v>0</v>
      </c>
      <c r="J13" s="311">
        <f>SUMIF([1]Sheet2!$B$2:$B$26,[1]BO!J13,[1]Sheet2!$G$2:$G$26)</f>
        <v>3400000</v>
      </c>
      <c r="K13" s="301">
        <f t="shared" si="0"/>
        <v>0</v>
      </c>
      <c r="L13" s="311">
        <v>3400000</v>
      </c>
      <c r="M13" s="321"/>
      <c r="N13" s="786" t="s">
        <v>796</v>
      </c>
      <c r="O13" s="335" t="s">
        <v>787</v>
      </c>
      <c r="P13" s="336"/>
      <c r="Q13" s="337">
        <v>2784000</v>
      </c>
    </row>
    <row r="14" spans="1:17">
      <c r="A14" s="310" t="s">
        <v>272</v>
      </c>
      <c r="B14" s="324" t="s">
        <v>163</v>
      </c>
      <c r="C14" s="325">
        <v>5604000</v>
      </c>
      <c r="D14" s="314" t="s">
        <v>730</v>
      </c>
      <c r="G14" s="315" t="s">
        <v>317</v>
      </c>
      <c r="H14" s="316">
        <v>7780000</v>
      </c>
      <c r="I14" s="317">
        <f t="shared" si="1"/>
        <v>4000000</v>
      </c>
      <c r="J14" s="311">
        <f>SUMIF([1]Sheet2!$B$2:$B$26,[1]BO!J14,[1]Sheet2!$G$2:$G$26)</f>
        <v>7780000</v>
      </c>
      <c r="K14" s="301">
        <f t="shared" si="0"/>
        <v>0</v>
      </c>
      <c r="L14" s="311">
        <f>+H14-I14</f>
        <v>3780000</v>
      </c>
      <c r="M14" s="321"/>
      <c r="N14" s="787"/>
      <c r="O14" s="318" t="s">
        <v>124</v>
      </c>
      <c r="P14" s="338">
        <f>+P15*0.1</f>
        <v>253090.90909090909</v>
      </c>
      <c r="Q14" s="339"/>
    </row>
    <row r="15" spans="1:17">
      <c r="A15" s="310" t="s">
        <v>277</v>
      </c>
      <c r="B15" s="312" t="s">
        <v>162</v>
      </c>
      <c r="C15" s="313">
        <v>1810000</v>
      </c>
      <c r="D15" s="314" t="s">
        <v>731</v>
      </c>
      <c r="G15" s="315" t="s">
        <v>263</v>
      </c>
      <c r="H15" s="316">
        <f>1760000+73810000</f>
        <v>75570000</v>
      </c>
      <c r="I15" s="317">
        <f t="shared" si="1"/>
        <v>75570000</v>
      </c>
      <c r="J15" s="311">
        <f>SUMIF([1]Sheet2!$B$2:$B$26,[1]BO!J15,[1]Sheet2!$G$2:$G$26)</f>
        <v>75570000</v>
      </c>
      <c r="K15" s="301">
        <f t="shared" si="0"/>
        <v>0</v>
      </c>
      <c r="L15" s="311">
        <f t="shared" ref="L15" si="2">+H15-I15</f>
        <v>0</v>
      </c>
      <c r="M15" s="321"/>
      <c r="N15" s="787"/>
      <c r="O15" s="318" t="s">
        <v>791</v>
      </c>
      <c r="P15" s="338">
        <f>2784000/1.1</f>
        <v>2530909.0909090908</v>
      </c>
      <c r="Q15" s="339"/>
    </row>
    <row r="16" spans="1:17">
      <c r="A16" s="310" t="s">
        <v>282</v>
      </c>
      <c r="B16" s="312" t="s">
        <v>162</v>
      </c>
      <c r="C16" s="313">
        <v>160000</v>
      </c>
      <c r="D16" s="314" t="s">
        <v>732</v>
      </c>
      <c r="K16" s="302"/>
      <c r="L16" s="311"/>
      <c r="M16" s="321"/>
      <c r="N16" s="787"/>
      <c r="O16" s="318" t="s">
        <v>778</v>
      </c>
      <c r="P16" s="338">
        <v>3528000</v>
      </c>
      <c r="Q16" s="339"/>
    </row>
    <row r="17" spans="1:17">
      <c r="A17" s="310" t="s">
        <v>272</v>
      </c>
      <c r="B17" s="312" t="s">
        <v>733</v>
      </c>
      <c r="C17" s="313">
        <v>6000000</v>
      </c>
      <c r="D17" s="314" t="s">
        <v>734</v>
      </c>
      <c r="G17" s="315" t="s">
        <v>354</v>
      </c>
      <c r="H17" s="316">
        <v>8500000</v>
      </c>
      <c r="I17" s="317">
        <f t="shared" si="1"/>
        <v>8500000</v>
      </c>
      <c r="J17" s="311">
        <f>SUMIF([1]Sheet2!$B$2:$B$26,[1]BO!J17,[1]Sheet2!$G$2:$G$26)</f>
        <v>8500000</v>
      </c>
      <c r="K17" s="301">
        <f t="shared" si="0"/>
        <v>0</v>
      </c>
      <c r="L17" s="311"/>
      <c r="M17" s="321"/>
      <c r="N17" s="788"/>
      <c r="O17" s="340" t="str">
        <f>+O13</f>
        <v>Бор.Авлага</v>
      </c>
      <c r="P17" s="341"/>
      <c r="Q17" s="342">
        <v>3528000</v>
      </c>
    </row>
    <row r="18" spans="1:17">
      <c r="A18" s="310" t="s">
        <v>282</v>
      </c>
      <c r="B18" s="327" t="s">
        <v>735</v>
      </c>
      <c r="C18" s="328">
        <v>167000</v>
      </c>
      <c r="D18" s="329" t="s">
        <v>736</v>
      </c>
      <c r="G18" s="315" t="s">
        <v>644</v>
      </c>
      <c r="H18" s="316">
        <v>2865000</v>
      </c>
      <c r="I18" s="317">
        <f t="shared" si="1"/>
        <v>2865000</v>
      </c>
      <c r="J18" s="311">
        <f>SUMIF([1]Sheet2!$B$2:$B$26,[1]BO!J18,[1]Sheet2!$G$2:$G$26)</f>
        <v>2865000</v>
      </c>
      <c r="K18" s="301">
        <f t="shared" si="0"/>
        <v>0</v>
      </c>
      <c r="L18" s="311"/>
      <c r="M18" s="321"/>
      <c r="N18" s="318"/>
    </row>
    <row r="19" spans="1:17" ht="13.5" thickBot="1">
      <c r="A19" s="310" t="s">
        <v>301</v>
      </c>
      <c r="B19" s="312" t="s">
        <v>737</v>
      </c>
      <c r="C19" s="313">
        <v>1200000</v>
      </c>
      <c r="D19" s="314" t="s">
        <v>738</v>
      </c>
      <c r="G19" s="330"/>
      <c r="H19" s="303">
        <f>SUM(H2:H18)</f>
        <v>270030000</v>
      </c>
      <c r="I19" s="346">
        <f>SUM(I2:I18)</f>
        <v>260754500</v>
      </c>
      <c r="J19" s="304">
        <f>SUM(J2:J18)</f>
        <v>270030000</v>
      </c>
      <c r="K19" s="347">
        <f>SUM(K2:K18)</f>
        <v>7569500</v>
      </c>
      <c r="L19" s="347">
        <f>SUM(L2:L18)</f>
        <v>16845000</v>
      </c>
      <c r="P19" s="311"/>
      <c r="Q19" s="311"/>
    </row>
    <row r="20" spans="1:17">
      <c r="A20" s="310" t="s">
        <v>272</v>
      </c>
      <c r="B20" s="312" t="s">
        <v>739</v>
      </c>
      <c r="C20" s="313">
        <v>10000000</v>
      </c>
      <c r="D20" s="314" t="s">
        <v>723</v>
      </c>
      <c r="H20" s="311"/>
      <c r="I20" s="311">
        <f>I19-K19</f>
        <v>253185000</v>
      </c>
      <c r="K20" s="318"/>
      <c r="L20" s="318"/>
      <c r="O20" s="310" t="s">
        <v>792</v>
      </c>
      <c r="P20" s="311">
        <f>I27+I19</f>
        <v>277962500</v>
      </c>
      <c r="Q20" s="311"/>
    </row>
    <row r="21" spans="1:17">
      <c r="A21" s="310" t="s">
        <v>272</v>
      </c>
      <c r="B21" s="312" t="s">
        <v>740</v>
      </c>
      <c r="C21" s="313">
        <v>10000000</v>
      </c>
      <c r="D21" s="314" t="s">
        <v>741</v>
      </c>
      <c r="G21" s="300"/>
      <c r="H21" s="305"/>
      <c r="I21" s="311">
        <f>I20+L19</f>
        <v>270030000</v>
      </c>
      <c r="K21" s="318"/>
      <c r="L21" s="318"/>
      <c r="M21" s="318"/>
      <c r="O21" s="310" t="s">
        <v>793</v>
      </c>
      <c r="P21" s="311">
        <f>+L19</f>
        <v>16845000</v>
      </c>
      <c r="Q21" s="311"/>
    </row>
    <row r="22" spans="1:17">
      <c r="A22" s="310" t="s">
        <v>305</v>
      </c>
      <c r="B22" s="312" t="s">
        <v>742</v>
      </c>
      <c r="C22" s="313">
        <v>1565000</v>
      </c>
      <c r="D22" s="314" t="s">
        <v>743</v>
      </c>
      <c r="G22" s="300"/>
      <c r="I22" s="331">
        <f>+H19-I21</f>
        <v>0</v>
      </c>
      <c r="L22" s="311"/>
      <c r="M22" s="300"/>
      <c r="O22" s="318" t="s">
        <v>787</v>
      </c>
      <c r="P22" s="311"/>
      <c r="Q22" s="311">
        <f>I27+I20+L19</f>
        <v>287238000</v>
      </c>
    </row>
    <row r="23" spans="1:17">
      <c r="A23" s="310" t="s">
        <v>272</v>
      </c>
      <c r="B23" s="312" t="s">
        <v>159</v>
      </c>
      <c r="C23" s="313">
        <v>4726000</v>
      </c>
      <c r="D23" s="314" t="s">
        <v>744</v>
      </c>
      <c r="O23" s="310" t="s">
        <v>794</v>
      </c>
      <c r="P23" s="311"/>
      <c r="Q23" s="311">
        <f>+K19</f>
        <v>7569500</v>
      </c>
    </row>
    <row r="24" spans="1:17">
      <c r="A24" s="310" t="s">
        <v>272</v>
      </c>
      <c r="B24" s="332" t="s">
        <v>745</v>
      </c>
      <c r="C24" s="333">
        <v>11290000</v>
      </c>
      <c r="D24" s="332" t="s">
        <v>746</v>
      </c>
      <c r="H24" s="311"/>
      <c r="I24" s="311"/>
      <c r="O24" s="310" t="str">
        <f>+O20</f>
        <v>Харилцах</v>
      </c>
    </row>
    <row r="25" spans="1:17">
      <c r="A25" s="310" t="s">
        <v>277</v>
      </c>
      <c r="B25" s="332" t="s">
        <v>747</v>
      </c>
      <c r="C25" s="333">
        <v>3060000</v>
      </c>
      <c r="D25" s="332" t="s">
        <v>748</v>
      </c>
      <c r="H25" s="310"/>
      <c r="I25" s="310"/>
      <c r="J25" s="310"/>
      <c r="P25" s="345">
        <f>SUM(P20:P24)</f>
        <v>294807500</v>
      </c>
      <c r="Q25" s="345">
        <f>SUM(Q20:Q24)</f>
        <v>294807500</v>
      </c>
    </row>
    <row r="26" spans="1:17">
      <c r="A26" s="310" t="s">
        <v>644</v>
      </c>
      <c r="B26" s="334" t="s">
        <v>749</v>
      </c>
      <c r="C26" s="306">
        <v>2865000</v>
      </c>
      <c r="D26" s="334" t="s">
        <v>750</v>
      </c>
      <c r="H26" s="310"/>
      <c r="I26" s="310"/>
      <c r="J26" s="310"/>
      <c r="N26" s="300"/>
      <c r="P26" s="318">
        <f>+P25-Q25</f>
        <v>0</v>
      </c>
    </row>
    <row r="27" spans="1:17">
      <c r="A27" s="310" t="s">
        <v>272</v>
      </c>
      <c r="B27" s="332" t="s">
        <v>751</v>
      </c>
      <c r="C27" s="333">
        <v>9150000</v>
      </c>
      <c r="D27" s="332" t="s">
        <v>752</v>
      </c>
      <c r="G27" s="315" t="s">
        <v>332</v>
      </c>
      <c r="H27" s="316">
        <v>23520000</v>
      </c>
      <c r="I27" s="317">
        <f>+'[1]khan netgel 25.01-12'!Q5</f>
        <v>17208000</v>
      </c>
      <c r="J27" s="311">
        <f>SUMIF([1]Sheet2!$B$2:$B$26,[1]BO!J16,[1]Sheet2!$G$2:$G$26)</f>
        <v>19992000</v>
      </c>
      <c r="K27" s="318">
        <f>+H27-J27</f>
        <v>3528000</v>
      </c>
      <c r="O27" s="318"/>
      <c r="P27" s="318"/>
      <c r="Q27" s="318"/>
    </row>
    <row r="28" spans="1:17">
      <c r="A28" s="310" t="s">
        <v>272</v>
      </c>
      <c r="B28" s="332" t="s">
        <v>753</v>
      </c>
      <c r="C28" s="333">
        <v>9150000</v>
      </c>
      <c r="D28" s="332" t="s">
        <v>754</v>
      </c>
      <c r="O28" s="310" t="str">
        <f>+O21</f>
        <v>Касс</v>
      </c>
      <c r="P28" s="311">
        <f>SUMIF($O$5:$O$24,O28,$P$5:$P$24)</f>
        <v>16845000</v>
      </c>
      <c r="Q28" s="311">
        <f>SUMIF($O$5:$O$24,O28,$Q$5:$Q$24)</f>
        <v>0</v>
      </c>
    </row>
    <row r="29" spans="1:17">
      <c r="A29" s="310" t="s">
        <v>263</v>
      </c>
      <c r="B29" s="332" t="s">
        <v>755</v>
      </c>
      <c r="C29" s="333">
        <v>24200000</v>
      </c>
      <c r="D29" s="332" t="s">
        <v>756</v>
      </c>
      <c r="H29" s="331">
        <f>+H27+H19</f>
        <v>293550000</v>
      </c>
      <c r="J29" s="311">
        <f>J27+J19</f>
        <v>290022000</v>
      </c>
      <c r="O29" s="310" t="str">
        <f>+O20</f>
        <v>Харилцах</v>
      </c>
      <c r="P29" s="311">
        <f t="shared" ref="P29:P33" si="3">SUMIF($O$5:$O$24,O29,$P$5:$P$24)</f>
        <v>277962500</v>
      </c>
      <c r="Q29" s="311">
        <f t="shared" ref="Q29" si="4">SUMIF($O$5:$O$24,O29,$Q$5:$Q$24)</f>
        <v>0</v>
      </c>
    </row>
    <row r="30" spans="1:17">
      <c r="A30" s="310" t="s">
        <v>272</v>
      </c>
      <c r="B30" s="332" t="s">
        <v>757</v>
      </c>
      <c r="C30" s="333">
        <v>10150000</v>
      </c>
      <c r="D30" s="332" t="s">
        <v>758</v>
      </c>
      <c r="J30" s="311">
        <f>+H29-J29</f>
        <v>3528000</v>
      </c>
      <c r="O30" s="318" t="s">
        <v>787</v>
      </c>
      <c r="P30" s="311">
        <f t="shared" si="3"/>
        <v>293550000</v>
      </c>
      <c r="Q30" s="311">
        <f>SUMIF($O$5:$O$24,O30,$Q$5:$Q$24)</f>
        <v>293550000</v>
      </c>
    </row>
    <row r="31" spans="1:17">
      <c r="A31" s="310" t="s">
        <v>282</v>
      </c>
      <c r="B31" s="332" t="s">
        <v>759</v>
      </c>
      <c r="C31" s="333">
        <v>490000</v>
      </c>
      <c r="D31" s="332" t="s">
        <v>760</v>
      </c>
      <c r="I31" s="307"/>
      <c r="J31" s="308"/>
      <c r="O31" s="318" t="s">
        <v>788</v>
      </c>
      <c r="P31" s="311">
        <f t="shared" si="3"/>
        <v>0</v>
      </c>
      <c r="Q31" s="311">
        <f>SUMIF($O$5:$O$24,O31,$Q$5:$Q$24)</f>
        <v>263656363.63636363</v>
      </c>
    </row>
    <row r="32" spans="1:17">
      <c r="A32" s="310" t="s">
        <v>272</v>
      </c>
      <c r="B32" s="332" t="s">
        <v>761</v>
      </c>
      <c r="C32" s="333">
        <v>6950000</v>
      </c>
      <c r="D32" s="332" t="s">
        <v>762</v>
      </c>
      <c r="J32" s="311">
        <f>+J29/1.1</f>
        <v>263656363.63636363</v>
      </c>
      <c r="O32" s="318" t="s">
        <v>124</v>
      </c>
      <c r="P32" s="311">
        <f t="shared" si="3"/>
        <v>253090.90909090909</v>
      </c>
      <c r="Q32" s="311">
        <f>SUMIF($O$5:$O$24,O32,$Q$5:$Q$24)</f>
        <v>26365636.363636363</v>
      </c>
    </row>
    <row r="33" spans="1:17">
      <c r="A33" s="310" t="s">
        <v>317</v>
      </c>
      <c r="B33" s="332" t="s">
        <v>763</v>
      </c>
      <c r="C33" s="333">
        <v>2000000</v>
      </c>
      <c r="D33" s="332" t="s">
        <v>764</v>
      </c>
      <c r="H33" s="307"/>
      <c r="J33" s="311">
        <f>+J32-Vat!D16</f>
        <v>-2.3636370897293091E-2</v>
      </c>
      <c r="O33" s="318" t="s">
        <v>374</v>
      </c>
      <c r="P33" s="311">
        <f t="shared" si="3"/>
        <v>0</v>
      </c>
      <c r="Q33" s="311">
        <f t="shared" ref="Q33:Q34" si="5">SUMIF($O$5:$O$24,O33,$Q$5:$Q$24)</f>
        <v>208402680.00624999</v>
      </c>
    </row>
    <row r="34" spans="1:17">
      <c r="A34" s="310" t="s">
        <v>272</v>
      </c>
      <c r="B34" s="332" t="s">
        <v>765</v>
      </c>
      <c r="C34" s="333">
        <v>7650000</v>
      </c>
      <c r="D34" s="332" t="s">
        <v>766</v>
      </c>
      <c r="H34" s="307"/>
      <c r="O34" s="310" t="str">
        <f>+O23</f>
        <v>УОО</v>
      </c>
      <c r="P34" s="311"/>
      <c r="Q34" s="311">
        <f t="shared" si="5"/>
        <v>7569500</v>
      </c>
    </row>
    <row r="35" spans="1:17">
      <c r="A35" s="310" t="s">
        <v>317</v>
      </c>
      <c r="B35" s="332" t="s">
        <v>767</v>
      </c>
      <c r="C35" s="333">
        <v>1000000</v>
      </c>
      <c r="D35" s="332" t="s">
        <v>768</v>
      </c>
      <c r="H35" s="307"/>
      <c r="O35" s="318" t="s">
        <v>771</v>
      </c>
      <c r="P35" s="311">
        <f>SUMIF($O$5:$O$24,O35,$P$5:$P$24)</f>
        <v>208257307.50624999</v>
      </c>
      <c r="Q35" s="311">
        <f>SUMIF($O$5:$O$24,O35,$Q$5:$Q$24)</f>
        <v>0</v>
      </c>
    </row>
    <row r="36" spans="1:17">
      <c r="A36" s="310" t="s">
        <v>272</v>
      </c>
      <c r="B36" s="332" t="s">
        <v>769</v>
      </c>
      <c r="C36" s="333">
        <v>11050000</v>
      </c>
      <c r="D36" s="332" t="s">
        <v>770</v>
      </c>
      <c r="H36" s="307"/>
      <c r="O36" s="318" t="s">
        <v>790</v>
      </c>
      <c r="P36" s="311">
        <f>SUMIF($O$5:$O$24,O36,$P$5:$P$24)</f>
        <v>145372.5</v>
      </c>
      <c r="Q36" s="311">
        <f>SUMIF($O$5:$O$24,O36,$Q$5:$Q$24)</f>
        <v>0</v>
      </c>
    </row>
    <row r="37" spans="1:17">
      <c r="A37" s="310" t="s">
        <v>709</v>
      </c>
      <c r="B37" s="332" t="s">
        <v>772</v>
      </c>
      <c r="C37" s="309">
        <v>3600000</v>
      </c>
      <c r="D37" s="332" t="s">
        <v>773</v>
      </c>
      <c r="O37" s="335" t="s">
        <v>791</v>
      </c>
      <c r="P37" s="311">
        <f>SUMIF($O$5:$O$24,O37,$P$5:$P$24)</f>
        <v>2530909.0909090908</v>
      </c>
      <c r="Q37" s="311">
        <f>SUMIF($O$5:$O$24,O37,$Q$5:$Q$24)</f>
        <v>0</v>
      </c>
    </row>
    <row r="38" spans="1:17">
      <c r="A38" s="310" t="s">
        <v>272</v>
      </c>
      <c r="B38" s="332" t="s">
        <v>774</v>
      </c>
      <c r="C38" s="333">
        <v>3290000</v>
      </c>
      <c r="D38" s="332" t="s">
        <v>775</v>
      </c>
      <c r="H38" s="307"/>
      <c r="I38" s="311"/>
      <c r="K38" s="318"/>
      <c r="O38" s="318" t="s">
        <v>778</v>
      </c>
      <c r="P38" s="311">
        <f>SUMIF($O$5:$O$24,O38,$P$5:$P$24)</f>
        <v>3528000</v>
      </c>
      <c r="Q38" s="311">
        <f>SUMIF($O$5:$O$24,O38,$Q$5:$Q$24)</f>
        <v>0</v>
      </c>
    </row>
    <row r="39" spans="1:17" ht="15">
      <c r="A39" s="310" t="s">
        <v>263</v>
      </c>
      <c r="B39" s="332" t="s">
        <v>776</v>
      </c>
      <c r="C39" s="333">
        <v>275000</v>
      </c>
      <c r="D39" s="332" t="s">
        <v>777</v>
      </c>
      <c r="H39" s="307"/>
      <c r="O39"/>
      <c r="P39" s="348">
        <f>SUM(P28:P38)</f>
        <v>803072180.00625002</v>
      </c>
      <c r="Q39" s="348">
        <f>SUM(Q28:Q38)</f>
        <v>799544180.00625002</v>
      </c>
    </row>
    <row r="40" spans="1:17" ht="15">
      <c r="A40" s="310" t="s">
        <v>354</v>
      </c>
      <c r="B40" s="332" t="s">
        <v>779</v>
      </c>
      <c r="C40" s="333">
        <v>8500000</v>
      </c>
      <c r="D40" s="332" t="s">
        <v>780</v>
      </c>
      <c r="H40" s="307"/>
      <c r="O40"/>
      <c r="Q40" s="318">
        <f>+Q39-P39</f>
        <v>-3528000</v>
      </c>
    </row>
    <row r="41" spans="1:17">
      <c r="A41" s="310" t="s">
        <v>272</v>
      </c>
      <c r="B41" s="332" t="s">
        <v>781</v>
      </c>
      <c r="C41" s="333">
        <v>5950000</v>
      </c>
      <c r="D41" s="332" t="s">
        <v>782</v>
      </c>
    </row>
    <row r="42" spans="1:17">
      <c r="A42" s="310" t="s">
        <v>317</v>
      </c>
      <c r="B42" s="332" t="s">
        <v>783</v>
      </c>
      <c r="C42" s="333">
        <v>1000000</v>
      </c>
      <c r="D42" s="332" t="s">
        <v>784</v>
      </c>
    </row>
    <row r="43" spans="1:17">
      <c r="A43" s="310" t="s">
        <v>263</v>
      </c>
      <c r="B43" s="332" t="s">
        <v>785</v>
      </c>
      <c r="C43" s="333">
        <v>275000</v>
      </c>
      <c r="D43" s="332" t="s">
        <v>786</v>
      </c>
    </row>
    <row r="44" spans="1:17">
      <c r="C44" s="318">
        <f>SUM(C2:C43)</f>
        <v>260754500</v>
      </c>
    </row>
    <row r="45" spans="1:17">
      <c r="O45" s="310" t="s">
        <v>792</v>
      </c>
    </row>
    <row r="46" spans="1:17">
      <c r="C46" s="310">
        <f>4810-3600</f>
        <v>1210</v>
      </c>
      <c r="O46" s="310" t="s">
        <v>793</v>
      </c>
    </row>
    <row r="47" spans="1:17">
      <c r="O47" s="318" t="s">
        <v>787</v>
      </c>
    </row>
    <row r="48" spans="1:17">
      <c r="O48" s="310" t="s">
        <v>794</v>
      </c>
    </row>
    <row r="49" spans="7:15">
      <c r="O49" s="310" t="str">
        <f>+O45</f>
        <v>Харилцах</v>
      </c>
    </row>
    <row r="52" spans="7:15">
      <c r="O52" s="318" t="str">
        <f>+O47</f>
        <v>Бор.Авлага</v>
      </c>
    </row>
    <row r="62" spans="7:15">
      <c r="G62" s="310" t="s">
        <v>261</v>
      </c>
      <c r="H62" s="331">
        <f t="shared" ref="H62:H77" si="6">SUMIF($G$2:$G$52,G62,$H$2:$H$52)</f>
        <v>18150000</v>
      </c>
    </row>
    <row r="63" spans="7:15">
      <c r="G63" s="310" t="s">
        <v>263</v>
      </c>
      <c r="H63" s="331">
        <f t="shared" si="6"/>
        <v>75570000</v>
      </c>
    </row>
    <row r="64" spans="7:15">
      <c r="G64" s="310" t="s">
        <v>265</v>
      </c>
      <c r="H64" s="331">
        <f t="shared" si="6"/>
        <v>6050000</v>
      </c>
    </row>
    <row r="65" spans="7:8">
      <c r="G65" s="310" t="s">
        <v>267</v>
      </c>
      <c r="H65" s="331">
        <f t="shared" si="6"/>
        <v>1210000</v>
      </c>
    </row>
    <row r="66" spans="7:8">
      <c r="G66" s="310" t="s">
        <v>269</v>
      </c>
      <c r="H66" s="331">
        <f t="shared" si="6"/>
        <v>0</v>
      </c>
    </row>
    <row r="67" spans="7:8">
      <c r="G67" s="310" t="s">
        <v>272</v>
      </c>
      <c r="H67" s="331">
        <f t="shared" si="6"/>
        <v>137930000</v>
      </c>
    </row>
    <row r="68" spans="7:8">
      <c r="G68" s="310" t="s">
        <v>277</v>
      </c>
      <c r="H68" s="331">
        <f t="shared" si="6"/>
        <v>6130000</v>
      </c>
    </row>
    <row r="69" spans="7:8">
      <c r="G69" s="310" t="s">
        <v>281</v>
      </c>
      <c r="H69" s="331">
        <f t="shared" si="6"/>
        <v>0</v>
      </c>
    </row>
    <row r="70" spans="7:8">
      <c r="G70" s="310" t="s">
        <v>282</v>
      </c>
      <c r="H70" s="331">
        <f t="shared" si="6"/>
        <v>1245000</v>
      </c>
    </row>
    <row r="71" spans="7:8">
      <c r="G71" s="310" t="s">
        <v>301</v>
      </c>
      <c r="H71" s="331">
        <f t="shared" si="6"/>
        <v>1200000</v>
      </c>
    </row>
    <row r="72" spans="7:8">
      <c r="G72" s="310" t="s">
        <v>305</v>
      </c>
      <c r="H72" s="331">
        <f t="shared" si="6"/>
        <v>0</v>
      </c>
    </row>
    <row r="73" spans="7:8">
      <c r="G73" s="310" t="s">
        <v>310</v>
      </c>
      <c r="H73" s="331">
        <f t="shared" si="6"/>
        <v>3400000</v>
      </c>
    </row>
    <row r="74" spans="7:8">
      <c r="G74" s="310" t="s">
        <v>317</v>
      </c>
      <c r="H74" s="331">
        <f t="shared" si="6"/>
        <v>7780000</v>
      </c>
    </row>
    <row r="75" spans="7:8">
      <c r="G75" s="310" t="s">
        <v>332</v>
      </c>
      <c r="H75" s="331">
        <f t="shared" si="6"/>
        <v>23520000</v>
      </c>
    </row>
    <row r="76" spans="7:8">
      <c r="G76" s="310" t="s">
        <v>336</v>
      </c>
      <c r="H76" s="331">
        <f t="shared" si="6"/>
        <v>0</v>
      </c>
    </row>
    <row r="77" spans="7:8">
      <c r="G77" s="310" t="s">
        <v>354</v>
      </c>
      <c r="H77" s="331">
        <f t="shared" si="6"/>
        <v>8500000</v>
      </c>
    </row>
  </sheetData>
  <mergeCells count="2">
    <mergeCell ref="G1:H1"/>
    <mergeCell ref="N13:N17"/>
  </mergeCells>
  <dataValidations count="1">
    <dataValidation type="list" allowBlank="1" showInputMessage="1" showErrorMessage="1" sqref="A2:A18 WVF983060:WVF983065 WLJ983060:WLJ983065 WBN983060:WBN983065 VRR983060:VRR983065 VHV983060:VHV983065 UXZ983060:UXZ983065 UOD983060:UOD983065 UEH983060:UEH983065 TUL983060:TUL983065 TKP983060:TKP983065 TAT983060:TAT983065 SQX983060:SQX983065 SHB983060:SHB983065 RXF983060:RXF983065 RNJ983060:RNJ983065 RDN983060:RDN983065 QTR983060:QTR983065 QJV983060:QJV983065 PZZ983060:PZZ983065 PQD983060:PQD983065 PGH983060:PGH983065 OWL983060:OWL983065 OMP983060:OMP983065 OCT983060:OCT983065 NSX983060:NSX983065 NJB983060:NJB983065 MZF983060:MZF983065 MPJ983060:MPJ983065 MFN983060:MFN983065 LVR983060:LVR983065 LLV983060:LLV983065 LBZ983060:LBZ983065 KSD983060:KSD983065 KIH983060:KIH983065 JYL983060:JYL983065 JOP983060:JOP983065 JET983060:JET983065 IUX983060:IUX983065 ILB983060:ILB983065 IBF983060:IBF983065 HRJ983060:HRJ983065 HHN983060:HHN983065 GXR983060:GXR983065 GNV983060:GNV983065 GDZ983060:GDZ983065 FUD983060:FUD983065 FKH983060:FKH983065 FAL983060:FAL983065 EQP983060:EQP983065 EGT983060:EGT983065 DWX983060:DWX983065 DNB983060:DNB983065 DDF983060:DDF983065 CTJ983060:CTJ983065 CJN983060:CJN983065 BZR983060:BZR983065 BPV983060:BPV983065 BFZ983060:BFZ983065 AWD983060:AWD983065 AMH983060:AMH983065 ACL983060:ACL983065 SP983060:SP983065 IT983060:IT983065 A983060:A983065 WVF917524:WVF917529 WLJ917524:WLJ917529 WBN917524:WBN917529 VRR917524:VRR917529 VHV917524:VHV917529 UXZ917524:UXZ917529 UOD917524:UOD917529 UEH917524:UEH917529 TUL917524:TUL917529 TKP917524:TKP917529 TAT917524:TAT917529 SQX917524:SQX917529 SHB917524:SHB917529 RXF917524:RXF917529 RNJ917524:RNJ917529 RDN917524:RDN917529 QTR917524:QTR917529 QJV917524:QJV917529 PZZ917524:PZZ917529 PQD917524:PQD917529 PGH917524:PGH917529 OWL917524:OWL917529 OMP917524:OMP917529 OCT917524:OCT917529 NSX917524:NSX917529 NJB917524:NJB917529 MZF917524:MZF917529 MPJ917524:MPJ917529 MFN917524:MFN917529 LVR917524:LVR917529 LLV917524:LLV917529 LBZ917524:LBZ917529 KSD917524:KSD917529 KIH917524:KIH917529 JYL917524:JYL917529 JOP917524:JOP917529 JET917524:JET917529 IUX917524:IUX917529 ILB917524:ILB917529 IBF917524:IBF917529 HRJ917524:HRJ917529 HHN917524:HHN917529 GXR917524:GXR917529 GNV917524:GNV917529 GDZ917524:GDZ917529 FUD917524:FUD917529 FKH917524:FKH917529 FAL917524:FAL917529 EQP917524:EQP917529 EGT917524:EGT917529 DWX917524:DWX917529 DNB917524:DNB917529 DDF917524:DDF917529 CTJ917524:CTJ917529 CJN917524:CJN917529 BZR917524:BZR917529 BPV917524:BPV917529 BFZ917524:BFZ917529 AWD917524:AWD917529 AMH917524:AMH917529 ACL917524:ACL917529 SP917524:SP917529 IT917524:IT917529 A917524:A917529 WVF851988:WVF851993 WLJ851988:WLJ851993 WBN851988:WBN851993 VRR851988:VRR851993 VHV851988:VHV851993 UXZ851988:UXZ851993 UOD851988:UOD851993 UEH851988:UEH851993 TUL851988:TUL851993 TKP851988:TKP851993 TAT851988:TAT851993 SQX851988:SQX851993 SHB851988:SHB851993 RXF851988:RXF851993 RNJ851988:RNJ851993 RDN851988:RDN851993 QTR851988:QTR851993 QJV851988:QJV851993 PZZ851988:PZZ851993 PQD851988:PQD851993 PGH851988:PGH851993 OWL851988:OWL851993 OMP851988:OMP851993 OCT851988:OCT851993 NSX851988:NSX851993 NJB851988:NJB851993 MZF851988:MZF851993 MPJ851988:MPJ851993 MFN851988:MFN851993 LVR851988:LVR851993 LLV851988:LLV851993 LBZ851988:LBZ851993 KSD851988:KSD851993 KIH851988:KIH851993 JYL851988:JYL851993 JOP851988:JOP851993 JET851988:JET851993 IUX851988:IUX851993 ILB851988:ILB851993 IBF851988:IBF851993 HRJ851988:HRJ851993 HHN851988:HHN851993 GXR851988:GXR851993 GNV851988:GNV851993 GDZ851988:GDZ851993 FUD851988:FUD851993 FKH851988:FKH851993 FAL851988:FAL851993 EQP851988:EQP851993 EGT851988:EGT851993 DWX851988:DWX851993 DNB851988:DNB851993 DDF851988:DDF851993 CTJ851988:CTJ851993 CJN851988:CJN851993 BZR851988:BZR851993 BPV851988:BPV851993 BFZ851988:BFZ851993 AWD851988:AWD851993 AMH851988:AMH851993 ACL851988:ACL851993 SP851988:SP851993 IT851988:IT851993 A851988:A851993 WVF786452:WVF786457 WLJ786452:WLJ786457 WBN786452:WBN786457 VRR786452:VRR786457 VHV786452:VHV786457 UXZ786452:UXZ786457 UOD786452:UOD786457 UEH786452:UEH786457 TUL786452:TUL786457 TKP786452:TKP786457 TAT786452:TAT786457 SQX786452:SQX786457 SHB786452:SHB786457 RXF786452:RXF786457 RNJ786452:RNJ786457 RDN786452:RDN786457 QTR786452:QTR786457 QJV786452:QJV786457 PZZ786452:PZZ786457 PQD786452:PQD786457 PGH786452:PGH786457 OWL786452:OWL786457 OMP786452:OMP786457 OCT786452:OCT786457 NSX786452:NSX786457 NJB786452:NJB786457 MZF786452:MZF786457 MPJ786452:MPJ786457 MFN786452:MFN786457 LVR786452:LVR786457 LLV786452:LLV786457 LBZ786452:LBZ786457 KSD786452:KSD786457 KIH786452:KIH786457 JYL786452:JYL786457 JOP786452:JOP786457 JET786452:JET786457 IUX786452:IUX786457 ILB786452:ILB786457 IBF786452:IBF786457 HRJ786452:HRJ786457 HHN786452:HHN786457 GXR786452:GXR786457 GNV786452:GNV786457 GDZ786452:GDZ786457 FUD786452:FUD786457 FKH786452:FKH786457 FAL786452:FAL786457 EQP786452:EQP786457 EGT786452:EGT786457 DWX786452:DWX786457 DNB786452:DNB786457 DDF786452:DDF786457 CTJ786452:CTJ786457 CJN786452:CJN786457 BZR786452:BZR786457 BPV786452:BPV786457 BFZ786452:BFZ786457 AWD786452:AWD786457 AMH786452:AMH786457 ACL786452:ACL786457 SP786452:SP786457 IT786452:IT786457 A786452:A786457 WVF720916:WVF720921 WLJ720916:WLJ720921 WBN720916:WBN720921 VRR720916:VRR720921 VHV720916:VHV720921 UXZ720916:UXZ720921 UOD720916:UOD720921 UEH720916:UEH720921 TUL720916:TUL720921 TKP720916:TKP720921 TAT720916:TAT720921 SQX720916:SQX720921 SHB720916:SHB720921 RXF720916:RXF720921 RNJ720916:RNJ720921 RDN720916:RDN720921 QTR720916:QTR720921 QJV720916:QJV720921 PZZ720916:PZZ720921 PQD720916:PQD720921 PGH720916:PGH720921 OWL720916:OWL720921 OMP720916:OMP720921 OCT720916:OCT720921 NSX720916:NSX720921 NJB720916:NJB720921 MZF720916:MZF720921 MPJ720916:MPJ720921 MFN720916:MFN720921 LVR720916:LVR720921 LLV720916:LLV720921 LBZ720916:LBZ720921 KSD720916:KSD720921 KIH720916:KIH720921 JYL720916:JYL720921 JOP720916:JOP720921 JET720916:JET720921 IUX720916:IUX720921 ILB720916:ILB720921 IBF720916:IBF720921 HRJ720916:HRJ720921 HHN720916:HHN720921 GXR720916:GXR720921 GNV720916:GNV720921 GDZ720916:GDZ720921 FUD720916:FUD720921 FKH720916:FKH720921 FAL720916:FAL720921 EQP720916:EQP720921 EGT720916:EGT720921 DWX720916:DWX720921 DNB720916:DNB720921 DDF720916:DDF720921 CTJ720916:CTJ720921 CJN720916:CJN720921 BZR720916:BZR720921 BPV720916:BPV720921 BFZ720916:BFZ720921 AWD720916:AWD720921 AMH720916:AMH720921 ACL720916:ACL720921 SP720916:SP720921 IT720916:IT720921 A720916:A720921 WVF655380:WVF655385 WLJ655380:WLJ655385 WBN655380:WBN655385 VRR655380:VRR655385 VHV655380:VHV655385 UXZ655380:UXZ655385 UOD655380:UOD655385 UEH655380:UEH655385 TUL655380:TUL655385 TKP655380:TKP655385 TAT655380:TAT655385 SQX655380:SQX655385 SHB655380:SHB655385 RXF655380:RXF655385 RNJ655380:RNJ655385 RDN655380:RDN655385 QTR655380:QTR655385 QJV655380:QJV655385 PZZ655380:PZZ655385 PQD655380:PQD655385 PGH655380:PGH655385 OWL655380:OWL655385 OMP655380:OMP655385 OCT655380:OCT655385 NSX655380:NSX655385 NJB655380:NJB655385 MZF655380:MZF655385 MPJ655380:MPJ655385 MFN655380:MFN655385 LVR655380:LVR655385 LLV655380:LLV655385 LBZ655380:LBZ655385 KSD655380:KSD655385 KIH655380:KIH655385 JYL655380:JYL655385 JOP655380:JOP655385 JET655380:JET655385 IUX655380:IUX655385 ILB655380:ILB655385 IBF655380:IBF655385 HRJ655380:HRJ655385 HHN655380:HHN655385 GXR655380:GXR655385 GNV655380:GNV655385 GDZ655380:GDZ655385 FUD655380:FUD655385 FKH655380:FKH655385 FAL655380:FAL655385 EQP655380:EQP655385 EGT655380:EGT655385 DWX655380:DWX655385 DNB655380:DNB655385 DDF655380:DDF655385 CTJ655380:CTJ655385 CJN655380:CJN655385 BZR655380:BZR655385 BPV655380:BPV655385 BFZ655380:BFZ655385 AWD655380:AWD655385 AMH655380:AMH655385 ACL655380:ACL655385 SP655380:SP655385 IT655380:IT655385 A655380:A655385 WVF589844:WVF589849 WLJ589844:WLJ589849 WBN589844:WBN589849 VRR589844:VRR589849 VHV589844:VHV589849 UXZ589844:UXZ589849 UOD589844:UOD589849 UEH589844:UEH589849 TUL589844:TUL589849 TKP589844:TKP589849 TAT589844:TAT589849 SQX589844:SQX589849 SHB589844:SHB589849 RXF589844:RXF589849 RNJ589844:RNJ589849 RDN589844:RDN589849 QTR589844:QTR589849 QJV589844:QJV589849 PZZ589844:PZZ589849 PQD589844:PQD589849 PGH589844:PGH589849 OWL589844:OWL589849 OMP589844:OMP589849 OCT589844:OCT589849 NSX589844:NSX589849 NJB589844:NJB589849 MZF589844:MZF589849 MPJ589844:MPJ589849 MFN589844:MFN589849 LVR589844:LVR589849 LLV589844:LLV589849 LBZ589844:LBZ589849 KSD589844:KSD589849 KIH589844:KIH589849 JYL589844:JYL589849 JOP589844:JOP589849 JET589844:JET589849 IUX589844:IUX589849 ILB589844:ILB589849 IBF589844:IBF589849 HRJ589844:HRJ589849 HHN589844:HHN589849 GXR589844:GXR589849 GNV589844:GNV589849 GDZ589844:GDZ589849 FUD589844:FUD589849 FKH589844:FKH589849 FAL589844:FAL589849 EQP589844:EQP589849 EGT589844:EGT589849 DWX589844:DWX589849 DNB589844:DNB589849 DDF589844:DDF589849 CTJ589844:CTJ589849 CJN589844:CJN589849 BZR589844:BZR589849 BPV589844:BPV589849 BFZ589844:BFZ589849 AWD589844:AWD589849 AMH589844:AMH589849 ACL589844:ACL589849 SP589844:SP589849 IT589844:IT589849 A589844:A589849 WVF524308:WVF524313 WLJ524308:WLJ524313 WBN524308:WBN524313 VRR524308:VRR524313 VHV524308:VHV524313 UXZ524308:UXZ524313 UOD524308:UOD524313 UEH524308:UEH524313 TUL524308:TUL524313 TKP524308:TKP524313 TAT524308:TAT524313 SQX524308:SQX524313 SHB524308:SHB524313 RXF524308:RXF524313 RNJ524308:RNJ524313 RDN524308:RDN524313 QTR524308:QTR524313 QJV524308:QJV524313 PZZ524308:PZZ524313 PQD524308:PQD524313 PGH524308:PGH524313 OWL524308:OWL524313 OMP524308:OMP524313 OCT524308:OCT524313 NSX524308:NSX524313 NJB524308:NJB524313 MZF524308:MZF524313 MPJ524308:MPJ524313 MFN524308:MFN524313 LVR524308:LVR524313 LLV524308:LLV524313 LBZ524308:LBZ524313 KSD524308:KSD524313 KIH524308:KIH524313 JYL524308:JYL524313 JOP524308:JOP524313 JET524308:JET524313 IUX524308:IUX524313 ILB524308:ILB524313 IBF524308:IBF524313 HRJ524308:HRJ524313 HHN524308:HHN524313 GXR524308:GXR524313 GNV524308:GNV524313 GDZ524308:GDZ524313 FUD524308:FUD524313 FKH524308:FKH524313 FAL524308:FAL524313 EQP524308:EQP524313 EGT524308:EGT524313 DWX524308:DWX524313 DNB524308:DNB524313 DDF524308:DDF524313 CTJ524308:CTJ524313 CJN524308:CJN524313 BZR524308:BZR524313 BPV524308:BPV524313 BFZ524308:BFZ524313 AWD524308:AWD524313 AMH524308:AMH524313 ACL524308:ACL524313 SP524308:SP524313 IT524308:IT524313 A524308:A524313 WVF458772:WVF458777 WLJ458772:WLJ458777 WBN458772:WBN458777 VRR458772:VRR458777 VHV458772:VHV458777 UXZ458772:UXZ458777 UOD458772:UOD458777 UEH458772:UEH458777 TUL458772:TUL458777 TKP458772:TKP458777 TAT458772:TAT458777 SQX458772:SQX458777 SHB458772:SHB458777 RXF458772:RXF458777 RNJ458772:RNJ458777 RDN458772:RDN458777 QTR458772:QTR458777 QJV458772:QJV458777 PZZ458772:PZZ458777 PQD458772:PQD458777 PGH458772:PGH458777 OWL458772:OWL458777 OMP458772:OMP458777 OCT458772:OCT458777 NSX458772:NSX458777 NJB458772:NJB458777 MZF458772:MZF458777 MPJ458772:MPJ458777 MFN458772:MFN458777 LVR458772:LVR458777 LLV458772:LLV458777 LBZ458772:LBZ458777 KSD458772:KSD458777 KIH458772:KIH458777 JYL458772:JYL458777 JOP458772:JOP458777 JET458772:JET458777 IUX458772:IUX458777 ILB458772:ILB458777 IBF458772:IBF458777 HRJ458772:HRJ458777 HHN458772:HHN458777 GXR458772:GXR458777 GNV458772:GNV458777 GDZ458772:GDZ458777 FUD458772:FUD458777 FKH458772:FKH458777 FAL458772:FAL458777 EQP458772:EQP458777 EGT458772:EGT458777 DWX458772:DWX458777 DNB458772:DNB458777 DDF458772:DDF458777 CTJ458772:CTJ458777 CJN458772:CJN458777 BZR458772:BZR458777 BPV458772:BPV458777 BFZ458772:BFZ458777 AWD458772:AWD458777 AMH458772:AMH458777 ACL458772:ACL458777 SP458772:SP458777 IT458772:IT458777 A458772:A458777 WVF393236:WVF393241 WLJ393236:WLJ393241 WBN393236:WBN393241 VRR393236:VRR393241 VHV393236:VHV393241 UXZ393236:UXZ393241 UOD393236:UOD393241 UEH393236:UEH393241 TUL393236:TUL393241 TKP393236:TKP393241 TAT393236:TAT393241 SQX393236:SQX393241 SHB393236:SHB393241 RXF393236:RXF393241 RNJ393236:RNJ393241 RDN393236:RDN393241 QTR393236:QTR393241 QJV393236:QJV393241 PZZ393236:PZZ393241 PQD393236:PQD393241 PGH393236:PGH393241 OWL393236:OWL393241 OMP393236:OMP393241 OCT393236:OCT393241 NSX393236:NSX393241 NJB393236:NJB393241 MZF393236:MZF393241 MPJ393236:MPJ393241 MFN393236:MFN393241 LVR393236:LVR393241 LLV393236:LLV393241 LBZ393236:LBZ393241 KSD393236:KSD393241 KIH393236:KIH393241 JYL393236:JYL393241 JOP393236:JOP393241 JET393236:JET393241 IUX393236:IUX393241 ILB393236:ILB393241 IBF393236:IBF393241 HRJ393236:HRJ393241 HHN393236:HHN393241 GXR393236:GXR393241 GNV393236:GNV393241 GDZ393236:GDZ393241 FUD393236:FUD393241 FKH393236:FKH393241 FAL393236:FAL393241 EQP393236:EQP393241 EGT393236:EGT393241 DWX393236:DWX393241 DNB393236:DNB393241 DDF393236:DDF393241 CTJ393236:CTJ393241 CJN393236:CJN393241 BZR393236:BZR393241 BPV393236:BPV393241 BFZ393236:BFZ393241 AWD393236:AWD393241 AMH393236:AMH393241 ACL393236:ACL393241 SP393236:SP393241 IT393236:IT393241 A393236:A393241 WVF327700:WVF327705 WLJ327700:WLJ327705 WBN327700:WBN327705 VRR327700:VRR327705 VHV327700:VHV327705 UXZ327700:UXZ327705 UOD327700:UOD327705 UEH327700:UEH327705 TUL327700:TUL327705 TKP327700:TKP327705 TAT327700:TAT327705 SQX327700:SQX327705 SHB327700:SHB327705 RXF327700:RXF327705 RNJ327700:RNJ327705 RDN327700:RDN327705 QTR327700:QTR327705 QJV327700:QJV327705 PZZ327700:PZZ327705 PQD327700:PQD327705 PGH327700:PGH327705 OWL327700:OWL327705 OMP327700:OMP327705 OCT327700:OCT327705 NSX327700:NSX327705 NJB327700:NJB327705 MZF327700:MZF327705 MPJ327700:MPJ327705 MFN327700:MFN327705 LVR327700:LVR327705 LLV327700:LLV327705 LBZ327700:LBZ327705 KSD327700:KSD327705 KIH327700:KIH327705 JYL327700:JYL327705 JOP327700:JOP327705 JET327700:JET327705 IUX327700:IUX327705 ILB327700:ILB327705 IBF327700:IBF327705 HRJ327700:HRJ327705 HHN327700:HHN327705 GXR327700:GXR327705 GNV327700:GNV327705 GDZ327700:GDZ327705 FUD327700:FUD327705 FKH327700:FKH327705 FAL327700:FAL327705 EQP327700:EQP327705 EGT327700:EGT327705 DWX327700:DWX327705 DNB327700:DNB327705 DDF327700:DDF327705 CTJ327700:CTJ327705 CJN327700:CJN327705 BZR327700:BZR327705 BPV327700:BPV327705 BFZ327700:BFZ327705 AWD327700:AWD327705 AMH327700:AMH327705 ACL327700:ACL327705 SP327700:SP327705 IT327700:IT327705 A327700:A327705 WVF262164:WVF262169 WLJ262164:WLJ262169 WBN262164:WBN262169 VRR262164:VRR262169 VHV262164:VHV262169 UXZ262164:UXZ262169 UOD262164:UOD262169 UEH262164:UEH262169 TUL262164:TUL262169 TKP262164:TKP262169 TAT262164:TAT262169 SQX262164:SQX262169 SHB262164:SHB262169 RXF262164:RXF262169 RNJ262164:RNJ262169 RDN262164:RDN262169 QTR262164:QTR262169 QJV262164:QJV262169 PZZ262164:PZZ262169 PQD262164:PQD262169 PGH262164:PGH262169 OWL262164:OWL262169 OMP262164:OMP262169 OCT262164:OCT262169 NSX262164:NSX262169 NJB262164:NJB262169 MZF262164:MZF262169 MPJ262164:MPJ262169 MFN262164:MFN262169 LVR262164:LVR262169 LLV262164:LLV262169 LBZ262164:LBZ262169 KSD262164:KSD262169 KIH262164:KIH262169 JYL262164:JYL262169 JOP262164:JOP262169 JET262164:JET262169 IUX262164:IUX262169 ILB262164:ILB262169 IBF262164:IBF262169 HRJ262164:HRJ262169 HHN262164:HHN262169 GXR262164:GXR262169 GNV262164:GNV262169 GDZ262164:GDZ262169 FUD262164:FUD262169 FKH262164:FKH262169 FAL262164:FAL262169 EQP262164:EQP262169 EGT262164:EGT262169 DWX262164:DWX262169 DNB262164:DNB262169 DDF262164:DDF262169 CTJ262164:CTJ262169 CJN262164:CJN262169 BZR262164:BZR262169 BPV262164:BPV262169 BFZ262164:BFZ262169 AWD262164:AWD262169 AMH262164:AMH262169 ACL262164:ACL262169 SP262164:SP262169 IT262164:IT262169 A262164:A262169 WVF196628:WVF196633 WLJ196628:WLJ196633 WBN196628:WBN196633 VRR196628:VRR196633 VHV196628:VHV196633 UXZ196628:UXZ196633 UOD196628:UOD196633 UEH196628:UEH196633 TUL196628:TUL196633 TKP196628:TKP196633 TAT196628:TAT196633 SQX196628:SQX196633 SHB196628:SHB196633 RXF196628:RXF196633 RNJ196628:RNJ196633 RDN196628:RDN196633 QTR196628:QTR196633 QJV196628:QJV196633 PZZ196628:PZZ196633 PQD196628:PQD196633 PGH196628:PGH196633 OWL196628:OWL196633 OMP196628:OMP196633 OCT196628:OCT196633 NSX196628:NSX196633 NJB196628:NJB196633 MZF196628:MZF196633 MPJ196628:MPJ196633 MFN196628:MFN196633 LVR196628:LVR196633 LLV196628:LLV196633 LBZ196628:LBZ196633 KSD196628:KSD196633 KIH196628:KIH196633 JYL196628:JYL196633 JOP196628:JOP196633 JET196628:JET196633 IUX196628:IUX196633 ILB196628:ILB196633 IBF196628:IBF196633 HRJ196628:HRJ196633 HHN196628:HHN196633 GXR196628:GXR196633 GNV196628:GNV196633 GDZ196628:GDZ196633 FUD196628:FUD196633 FKH196628:FKH196633 FAL196628:FAL196633 EQP196628:EQP196633 EGT196628:EGT196633 DWX196628:DWX196633 DNB196628:DNB196633 DDF196628:DDF196633 CTJ196628:CTJ196633 CJN196628:CJN196633 BZR196628:BZR196633 BPV196628:BPV196633 BFZ196628:BFZ196633 AWD196628:AWD196633 AMH196628:AMH196633 ACL196628:ACL196633 SP196628:SP196633 IT196628:IT196633 A196628:A196633 WVF131092:WVF131097 WLJ131092:WLJ131097 WBN131092:WBN131097 VRR131092:VRR131097 VHV131092:VHV131097 UXZ131092:UXZ131097 UOD131092:UOD131097 UEH131092:UEH131097 TUL131092:TUL131097 TKP131092:TKP131097 TAT131092:TAT131097 SQX131092:SQX131097 SHB131092:SHB131097 RXF131092:RXF131097 RNJ131092:RNJ131097 RDN131092:RDN131097 QTR131092:QTR131097 QJV131092:QJV131097 PZZ131092:PZZ131097 PQD131092:PQD131097 PGH131092:PGH131097 OWL131092:OWL131097 OMP131092:OMP131097 OCT131092:OCT131097 NSX131092:NSX131097 NJB131092:NJB131097 MZF131092:MZF131097 MPJ131092:MPJ131097 MFN131092:MFN131097 LVR131092:LVR131097 LLV131092:LLV131097 LBZ131092:LBZ131097 KSD131092:KSD131097 KIH131092:KIH131097 JYL131092:JYL131097 JOP131092:JOP131097 JET131092:JET131097 IUX131092:IUX131097 ILB131092:ILB131097 IBF131092:IBF131097 HRJ131092:HRJ131097 HHN131092:HHN131097 GXR131092:GXR131097 GNV131092:GNV131097 GDZ131092:GDZ131097 FUD131092:FUD131097 FKH131092:FKH131097 FAL131092:FAL131097 EQP131092:EQP131097 EGT131092:EGT131097 DWX131092:DWX131097 DNB131092:DNB131097 DDF131092:DDF131097 CTJ131092:CTJ131097 CJN131092:CJN131097 BZR131092:BZR131097 BPV131092:BPV131097 BFZ131092:BFZ131097 AWD131092:AWD131097 AMH131092:AMH131097 ACL131092:ACL131097 SP131092:SP131097 IT131092:IT131097 A131092:A131097 WVF65556:WVF65561 WLJ65556:WLJ65561 WBN65556:WBN65561 VRR65556:VRR65561 VHV65556:VHV65561 UXZ65556:UXZ65561 UOD65556:UOD65561 UEH65556:UEH65561 TUL65556:TUL65561 TKP65556:TKP65561 TAT65556:TAT65561 SQX65556:SQX65561 SHB65556:SHB65561 RXF65556:RXF65561 RNJ65556:RNJ65561 RDN65556:RDN65561 QTR65556:QTR65561 QJV65556:QJV65561 PZZ65556:PZZ65561 PQD65556:PQD65561 PGH65556:PGH65561 OWL65556:OWL65561 OMP65556:OMP65561 OCT65556:OCT65561 NSX65556:NSX65561 NJB65556:NJB65561 MZF65556:MZF65561 MPJ65556:MPJ65561 MFN65556:MFN65561 LVR65556:LVR65561 LLV65556:LLV65561 LBZ65556:LBZ65561 KSD65556:KSD65561 KIH65556:KIH65561 JYL65556:JYL65561 JOP65556:JOP65561 JET65556:JET65561 IUX65556:IUX65561 ILB65556:ILB65561 IBF65556:IBF65561 HRJ65556:HRJ65561 HHN65556:HHN65561 GXR65556:GXR65561 GNV65556:GNV65561 GDZ65556:GDZ65561 FUD65556:FUD65561 FKH65556:FKH65561 FAL65556:FAL65561 EQP65556:EQP65561 EGT65556:EGT65561 DWX65556:DWX65561 DNB65556:DNB65561 DDF65556:DDF65561 CTJ65556:CTJ65561 CJN65556:CJN65561 BZR65556:BZR65561 BPV65556:BPV65561 BFZ65556:BFZ65561 AWD65556:AWD65561 AMH65556:AMH65561 ACL65556:ACL65561 SP65556:SP65561 IT65556:IT65561 A65556:A65561 WVF20:WVF25 WLJ20:WLJ25 WBN20:WBN25 VRR20:VRR25 VHV20:VHV25 UXZ20:UXZ25 UOD20:UOD25 UEH20:UEH25 TUL20:TUL25 TKP20:TKP25 TAT20:TAT25 SQX20:SQX25 SHB20:SHB25 RXF20:RXF25 RNJ20:RNJ25 RDN20:RDN25 QTR20:QTR25 QJV20:QJV25 PZZ20:PZZ25 PQD20:PQD25 PGH20:PGH25 OWL20:OWL25 OMP20:OMP25 OCT20:OCT25 NSX20:NSX25 NJB20:NJB25 MZF20:MZF25 MPJ20:MPJ25 MFN20:MFN25 LVR20:LVR25 LLV20:LLV25 LBZ20:LBZ25 KSD20:KSD25 KIH20:KIH25 JYL20:JYL25 JOP20:JOP25 JET20:JET25 IUX20:IUX25 ILB20:ILB25 IBF20:IBF25 HRJ20:HRJ25 HHN20:HHN25 GXR20:GXR25 GNV20:GNV25 GDZ20:GDZ25 FUD20:FUD25 FKH20:FKH25 FAL20:FAL25 EQP20:EQP25 EGT20:EGT25 DWX20:DWX25 DNB20:DNB25 DDF20:DDF25 CTJ20:CTJ25 CJN20:CJN25 BZR20:BZR25 BPV20:BPV25 BFZ20:BFZ25 AWD20:AWD25 AMH20:AMH25 ACL20:ACL25 SP20:SP25 IT20:IT25 A20:A25 WVF983067:WVF983083 WLJ983067:WLJ983083 WBN983067:WBN983083 VRR983067:VRR983083 VHV983067:VHV983083 UXZ983067:UXZ983083 UOD983067:UOD983083 UEH983067:UEH983083 TUL983067:TUL983083 TKP983067:TKP983083 TAT983067:TAT983083 SQX983067:SQX983083 SHB983067:SHB983083 RXF983067:RXF983083 RNJ983067:RNJ983083 RDN983067:RDN983083 QTR983067:QTR983083 QJV983067:QJV983083 PZZ983067:PZZ983083 PQD983067:PQD983083 PGH983067:PGH983083 OWL983067:OWL983083 OMP983067:OMP983083 OCT983067:OCT983083 NSX983067:NSX983083 NJB983067:NJB983083 MZF983067:MZF983083 MPJ983067:MPJ983083 MFN983067:MFN983083 LVR983067:LVR983083 LLV983067:LLV983083 LBZ983067:LBZ983083 KSD983067:KSD983083 KIH983067:KIH983083 JYL983067:JYL983083 JOP983067:JOP983083 JET983067:JET983083 IUX983067:IUX983083 ILB983067:ILB983083 IBF983067:IBF983083 HRJ983067:HRJ983083 HHN983067:HHN983083 GXR983067:GXR983083 GNV983067:GNV983083 GDZ983067:GDZ983083 FUD983067:FUD983083 FKH983067:FKH983083 FAL983067:FAL983083 EQP983067:EQP983083 EGT983067:EGT983083 DWX983067:DWX983083 DNB983067:DNB983083 DDF983067:DDF983083 CTJ983067:CTJ983083 CJN983067:CJN983083 BZR983067:BZR983083 BPV983067:BPV983083 BFZ983067:BFZ983083 AWD983067:AWD983083 AMH983067:AMH983083 ACL983067:ACL983083 SP983067:SP983083 IT983067:IT983083 A983067:A983083 WVF917531:WVF917547 WLJ917531:WLJ917547 WBN917531:WBN917547 VRR917531:VRR917547 VHV917531:VHV917547 UXZ917531:UXZ917547 UOD917531:UOD917547 UEH917531:UEH917547 TUL917531:TUL917547 TKP917531:TKP917547 TAT917531:TAT917547 SQX917531:SQX917547 SHB917531:SHB917547 RXF917531:RXF917547 RNJ917531:RNJ917547 RDN917531:RDN917547 QTR917531:QTR917547 QJV917531:QJV917547 PZZ917531:PZZ917547 PQD917531:PQD917547 PGH917531:PGH917547 OWL917531:OWL917547 OMP917531:OMP917547 OCT917531:OCT917547 NSX917531:NSX917547 NJB917531:NJB917547 MZF917531:MZF917547 MPJ917531:MPJ917547 MFN917531:MFN917547 LVR917531:LVR917547 LLV917531:LLV917547 LBZ917531:LBZ917547 KSD917531:KSD917547 KIH917531:KIH917547 JYL917531:JYL917547 JOP917531:JOP917547 JET917531:JET917547 IUX917531:IUX917547 ILB917531:ILB917547 IBF917531:IBF917547 HRJ917531:HRJ917547 HHN917531:HHN917547 GXR917531:GXR917547 GNV917531:GNV917547 GDZ917531:GDZ917547 FUD917531:FUD917547 FKH917531:FKH917547 FAL917531:FAL917547 EQP917531:EQP917547 EGT917531:EGT917547 DWX917531:DWX917547 DNB917531:DNB917547 DDF917531:DDF917547 CTJ917531:CTJ917547 CJN917531:CJN917547 BZR917531:BZR917547 BPV917531:BPV917547 BFZ917531:BFZ917547 AWD917531:AWD917547 AMH917531:AMH917547 ACL917531:ACL917547 SP917531:SP917547 IT917531:IT917547 A917531:A917547 WVF851995:WVF852011 WLJ851995:WLJ852011 WBN851995:WBN852011 VRR851995:VRR852011 VHV851995:VHV852011 UXZ851995:UXZ852011 UOD851995:UOD852011 UEH851995:UEH852011 TUL851995:TUL852011 TKP851995:TKP852011 TAT851995:TAT852011 SQX851995:SQX852011 SHB851995:SHB852011 RXF851995:RXF852011 RNJ851995:RNJ852011 RDN851995:RDN852011 QTR851995:QTR852011 QJV851995:QJV852011 PZZ851995:PZZ852011 PQD851995:PQD852011 PGH851995:PGH852011 OWL851995:OWL852011 OMP851995:OMP852011 OCT851995:OCT852011 NSX851995:NSX852011 NJB851995:NJB852011 MZF851995:MZF852011 MPJ851995:MPJ852011 MFN851995:MFN852011 LVR851995:LVR852011 LLV851995:LLV852011 LBZ851995:LBZ852011 KSD851995:KSD852011 KIH851995:KIH852011 JYL851995:JYL852011 JOP851995:JOP852011 JET851995:JET852011 IUX851995:IUX852011 ILB851995:ILB852011 IBF851995:IBF852011 HRJ851995:HRJ852011 HHN851995:HHN852011 GXR851995:GXR852011 GNV851995:GNV852011 GDZ851995:GDZ852011 FUD851995:FUD852011 FKH851995:FKH852011 FAL851995:FAL852011 EQP851995:EQP852011 EGT851995:EGT852011 DWX851995:DWX852011 DNB851995:DNB852011 DDF851995:DDF852011 CTJ851995:CTJ852011 CJN851995:CJN852011 BZR851995:BZR852011 BPV851995:BPV852011 BFZ851995:BFZ852011 AWD851995:AWD852011 AMH851995:AMH852011 ACL851995:ACL852011 SP851995:SP852011 IT851995:IT852011 A851995:A852011 WVF786459:WVF786475 WLJ786459:WLJ786475 WBN786459:WBN786475 VRR786459:VRR786475 VHV786459:VHV786475 UXZ786459:UXZ786475 UOD786459:UOD786475 UEH786459:UEH786475 TUL786459:TUL786475 TKP786459:TKP786475 TAT786459:TAT786475 SQX786459:SQX786475 SHB786459:SHB786475 RXF786459:RXF786475 RNJ786459:RNJ786475 RDN786459:RDN786475 QTR786459:QTR786475 QJV786459:QJV786475 PZZ786459:PZZ786475 PQD786459:PQD786475 PGH786459:PGH786475 OWL786459:OWL786475 OMP786459:OMP786475 OCT786459:OCT786475 NSX786459:NSX786475 NJB786459:NJB786475 MZF786459:MZF786475 MPJ786459:MPJ786475 MFN786459:MFN786475 LVR786459:LVR786475 LLV786459:LLV786475 LBZ786459:LBZ786475 KSD786459:KSD786475 KIH786459:KIH786475 JYL786459:JYL786475 JOP786459:JOP786475 JET786459:JET786475 IUX786459:IUX786475 ILB786459:ILB786475 IBF786459:IBF786475 HRJ786459:HRJ786475 HHN786459:HHN786475 GXR786459:GXR786475 GNV786459:GNV786475 GDZ786459:GDZ786475 FUD786459:FUD786475 FKH786459:FKH786475 FAL786459:FAL786475 EQP786459:EQP786475 EGT786459:EGT786475 DWX786459:DWX786475 DNB786459:DNB786475 DDF786459:DDF786475 CTJ786459:CTJ786475 CJN786459:CJN786475 BZR786459:BZR786475 BPV786459:BPV786475 BFZ786459:BFZ786475 AWD786459:AWD786475 AMH786459:AMH786475 ACL786459:ACL786475 SP786459:SP786475 IT786459:IT786475 A786459:A786475 WVF720923:WVF720939 WLJ720923:WLJ720939 WBN720923:WBN720939 VRR720923:VRR720939 VHV720923:VHV720939 UXZ720923:UXZ720939 UOD720923:UOD720939 UEH720923:UEH720939 TUL720923:TUL720939 TKP720923:TKP720939 TAT720923:TAT720939 SQX720923:SQX720939 SHB720923:SHB720939 RXF720923:RXF720939 RNJ720923:RNJ720939 RDN720923:RDN720939 QTR720923:QTR720939 QJV720923:QJV720939 PZZ720923:PZZ720939 PQD720923:PQD720939 PGH720923:PGH720939 OWL720923:OWL720939 OMP720923:OMP720939 OCT720923:OCT720939 NSX720923:NSX720939 NJB720923:NJB720939 MZF720923:MZF720939 MPJ720923:MPJ720939 MFN720923:MFN720939 LVR720923:LVR720939 LLV720923:LLV720939 LBZ720923:LBZ720939 KSD720923:KSD720939 KIH720923:KIH720939 JYL720923:JYL720939 JOP720923:JOP720939 JET720923:JET720939 IUX720923:IUX720939 ILB720923:ILB720939 IBF720923:IBF720939 HRJ720923:HRJ720939 HHN720923:HHN720939 GXR720923:GXR720939 GNV720923:GNV720939 GDZ720923:GDZ720939 FUD720923:FUD720939 FKH720923:FKH720939 FAL720923:FAL720939 EQP720923:EQP720939 EGT720923:EGT720939 DWX720923:DWX720939 DNB720923:DNB720939 DDF720923:DDF720939 CTJ720923:CTJ720939 CJN720923:CJN720939 BZR720923:BZR720939 BPV720923:BPV720939 BFZ720923:BFZ720939 AWD720923:AWD720939 AMH720923:AMH720939 ACL720923:ACL720939 SP720923:SP720939 IT720923:IT720939 A720923:A720939 WVF655387:WVF655403 WLJ655387:WLJ655403 WBN655387:WBN655403 VRR655387:VRR655403 VHV655387:VHV655403 UXZ655387:UXZ655403 UOD655387:UOD655403 UEH655387:UEH655403 TUL655387:TUL655403 TKP655387:TKP655403 TAT655387:TAT655403 SQX655387:SQX655403 SHB655387:SHB655403 RXF655387:RXF655403 RNJ655387:RNJ655403 RDN655387:RDN655403 QTR655387:QTR655403 QJV655387:QJV655403 PZZ655387:PZZ655403 PQD655387:PQD655403 PGH655387:PGH655403 OWL655387:OWL655403 OMP655387:OMP655403 OCT655387:OCT655403 NSX655387:NSX655403 NJB655387:NJB655403 MZF655387:MZF655403 MPJ655387:MPJ655403 MFN655387:MFN655403 LVR655387:LVR655403 LLV655387:LLV655403 LBZ655387:LBZ655403 KSD655387:KSD655403 KIH655387:KIH655403 JYL655387:JYL655403 JOP655387:JOP655403 JET655387:JET655403 IUX655387:IUX655403 ILB655387:ILB655403 IBF655387:IBF655403 HRJ655387:HRJ655403 HHN655387:HHN655403 GXR655387:GXR655403 GNV655387:GNV655403 GDZ655387:GDZ655403 FUD655387:FUD655403 FKH655387:FKH655403 FAL655387:FAL655403 EQP655387:EQP655403 EGT655387:EGT655403 DWX655387:DWX655403 DNB655387:DNB655403 DDF655387:DDF655403 CTJ655387:CTJ655403 CJN655387:CJN655403 BZR655387:BZR655403 BPV655387:BPV655403 BFZ655387:BFZ655403 AWD655387:AWD655403 AMH655387:AMH655403 ACL655387:ACL655403 SP655387:SP655403 IT655387:IT655403 A655387:A655403 WVF589851:WVF589867 WLJ589851:WLJ589867 WBN589851:WBN589867 VRR589851:VRR589867 VHV589851:VHV589867 UXZ589851:UXZ589867 UOD589851:UOD589867 UEH589851:UEH589867 TUL589851:TUL589867 TKP589851:TKP589867 TAT589851:TAT589867 SQX589851:SQX589867 SHB589851:SHB589867 RXF589851:RXF589867 RNJ589851:RNJ589867 RDN589851:RDN589867 QTR589851:QTR589867 QJV589851:QJV589867 PZZ589851:PZZ589867 PQD589851:PQD589867 PGH589851:PGH589867 OWL589851:OWL589867 OMP589851:OMP589867 OCT589851:OCT589867 NSX589851:NSX589867 NJB589851:NJB589867 MZF589851:MZF589867 MPJ589851:MPJ589867 MFN589851:MFN589867 LVR589851:LVR589867 LLV589851:LLV589867 LBZ589851:LBZ589867 KSD589851:KSD589867 KIH589851:KIH589867 JYL589851:JYL589867 JOP589851:JOP589867 JET589851:JET589867 IUX589851:IUX589867 ILB589851:ILB589867 IBF589851:IBF589867 HRJ589851:HRJ589867 HHN589851:HHN589867 GXR589851:GXR589867 GNV589851:GNV589867 GDZ589851:GDZ589867 FUD589851:FUD589867 FKH589851:FKH589867 FAL589851:FAL589867 EQP589851:EQP589867 EGT589851:EGT589867 DWX589851:DWX589867 DNB589851:DNB589867 DDF589851:DDF589867 CTJ589851:CTJ589867 CJN589851:CJN589867 BZR589851:BZR589867 BPV589851:BPV589867 BFZ589851:BFZ589867 AWD589851:AWD589867 AMH589851:AMH589867 ACL589851:ACL589867 SP589851:SP589867 IT589851:IT589867 A589851:A589867 WVF524315:WVF524331 WLJ524315:WLJ524331 WBN524315:WBN524331 VRR524315:VRR524331 VHV524315:VHV524331 UXZ524315:UXZ524331 UOD524315:UOD524331 UEH524315:UEH524331 TUL524315:TUL524331 TKP524315:TKP524331 TAT524315:TAT524331 SQX524315:SQX524331 SHB524315:SHB524331 RXF524315:RXF524331 RNJ524315:RNJ524331 RDN524315:RDN524331 QTR524315:QTR524331 QJV524315:QJV524331 PZZ524315:PZZ524331 PQD524315:PQD524331 PGH524315:PGH524331 OWL524315:OWL524331 OMP524315:OMP524331 OCT524315:OCT524331 NSX524315:NSX524331 NJB524315:NJB524331 MZF524315:MZF524331 MPJ524315:MPJ524331 MFN524315:MFN524331 LVR524315:LVR524331 LLV524315:LLV524331 LBZ524315:LBZ524331 KSD524315:KSD524331 KIH524315:KIH524331 JYL524315:JYL524331 JOP524315:JOP524331 JET524315:JET524331 IUX524315:IUX524331 ILB524315:ILB524331 IBF524315:IBF524331 HRJ524315:HRJ524331 HHN524315:HHN524331 GXR524315:GXR524331 GNV524315:GNV524331 GDZ524315:GDZ524331 FUD524315:FUD524331 FKH524315:FKH524331 FAL524315:FAL524331 EQP524315:EQP524331 EGT524315:EGT524331 DWX524315:DWX524331 DNB524315:DNB524331 DDF524315:DDF524331 CTJ524315:CTJ524331 CJN524315:CJN524331 BZR524315:BZR524331 BPV524315:BPV524331 BFZ524315:BFZ524331 AWD524315:AWD524331 AMH524315:AMH524331 ACL524315:ACL524331 SP524315:SP524331 IT524315:IT524331 A524315:A524331 WVF458779:WVF458795 WLJ458779:WLJ458795 WBN458779:WBN458795 VRR458779:VRR458795 VHV458779:VHV458795 UXZ458779:UXZ458795 UOD458779:UOD458795 UEH458779:UEH458795 TUL458779:TUL458795 TKP458779:TKP458795 TAT458779:TAT458795 SQX458779:SQX458795 SHB458779:SHB458795 RXF458779:RXF458795 RNJ458779:RNJ458795 RDN458779:RDN458795 QTR458779:QTR458795 QJV458779:QJV458795 PZZ458779:PZZ458795 PQD458779:PQD458795 PGH458779:PGH458795 OWL458779:OWL458795 OMP458779:OMP458795 OCT458779:OCT458795 NSX458779:NSX458795 NJB458779:NJB458795 MZF458779:MZF458795 MPJ458779:MPJ458795 MFN458779:MFN458795 LVR458779:LVR458795 LLV458779:LLV458795 LBZ458779:LBZ458795 KSD458779:KSD458795 KIH458779:KIH458795 JYL458779:JYL458795 JOP458779:JOP458795 JET458779:JET458795 IUX458779:IUX458795 ILB458779:ILB458795 IBF458779:IBF458795 HRJ458779:HRJ458795 HHN458779:HHN458795 GXR458779:GXR458795 GNV458779:GNV458795 GDZ458779:GDZ458795 FUD458779:FUD458795 FKH458779:FKH458795 FAL458779:FAL458795 EQP458779:EQP458795 EGT458779:EGT458795 DWX458779:DWX458795 DNB458779:DNB458795 DDF458779:DDF458795 CTJ458779:CTJ458795 CJN458779:CJN458795 BZR458779:BZR458795 BPV458779:BPV458795 BFZ458779:BFZ458795 AWD458779:AWD458795 AMH458779:AMH458795 ACL458779:ACL458795 SP458779:SP458795 IT458779:IT458795 A458779:A458795 WVF393243:WVF393259 WLJ393243:WLJ393259 WBN393243:WBN393259 VRR393243:VRR393259 VHV393243:VHV393259 UXZ393243:UXZ393259 UOD393243:UOD393259 UEH393243:UEH393259 TUL393243:TUL393259 TKP393243:TKP393259 TAT393243:TAT393259 SQX393243:SQX393259 SHB393243:SHB393259 RXF393243:RXF393259 RNJ393243:RNJ393259 RDN393243:RDN393259 QTR393243:QTR393259 QJV393243:QJV393259 PZZ393243:PZZ393259 PQD393243:PQD393259 PGH393243:PGH393259 OWL393243:OWL393259 OMP393243:OMP393259 OCT393243:OCT393259 NSX393243:NSX393259 NJB393243:NJB393259 MZF393243:MZF393259 MPJ393243:MPJ393259 MFN393243:MFN393259 LVR393243:LVR393259 LLV393243:LLV393259 LBZ393243:LBZ393259 KSD393243:KSD393259 KIH393243:KIH393259 JYL393243:JYL393259 JOP393243:JOP393259 JET393243:JET393259 IUX393243:IUX393259 ILB393243:ILB393259 IBF393243:IBF393259 HRJ393243:HRJ393259 HHN393243:HHN393259 GXR393243:GXR393259 GNV393243:GNV393259 GDZ393243:GDZ393259 FUD393243:FUD393259 FKH393243:FKH393259 FAL393243:FAL393259 EQP393243:EQP393259 EGT393243:EGT393259 DWX393243:DWX393259 DNB393243:DNB393259 DDF393243:DDF393259 CTJ393243:CTJ393259 CJN393243:CJN393259 BZR393243:BZR393259 BPV393243:BPV393259 BFZ393243:BFZ393259 AWD393243:AWD393259 AMH393243:AMH393259 ACL393243:ACL393259 SP393243:SP393259 IT393243:IT393259 A393243:A393259 WVF327707:WVF327723 WLJ327707:WLJ327723 WBN327707:WBN327723 VRR327707:VRR327723 VHV327707:VHV327723 UXZ327707:UXZ327723 UOD327707:UOD327723 UEH327707:UEH327723 TUL327707:TUL327723 TKP327707:TKP327723 TAT327707:TAT327723 SQX327707:SQX327723 SHB327707:SHB327723 RXF327707:RXF327723 RNJ327707:RNJ327723 RDN327707:RDN327723 QTR327707:QTR327723 QJV327707:QJV327723 PZZ327707:PZZ327723 PQD327707:PQD327723 PGH327707:PGH327723 OWL327707:OWL327723 OMP327707:OMP327723 OCT327707:OCT327723 NSX327707:NSX327723 NJB327707:NJB327723 MZF327707:MZF327723 MPJ327707:MPJ327723 MFN327707:MFN327723 LVR327707:LVR327723 LLV327707:LLV327723 LBZ327707:LBZ327723 KSD327707:KSD327723 KIH327707:KIH327723 JYL327707:JYL327723 JOP327707:JOP327723 JET327707:JET327723 IUX327707:IUX327723 ILB327707:ILB327723 IBF327707:IBF327723 HRJ327707:HRJ327723 HHN327707:HHN327723 GXR327707:GXR327723 GNV327707:GNV327723 GDZ327707:GDZ327723 FUD327707:FUD327723 FKH327707:FKH327723 FAL327707:FAL327723 EQP327707:EQP327723 EGT327707:EGT327723 DWX327707:DWX327723 DNB327707:DNB327723 DDF327707:DDF327723 CTJ327707:CTJ327723 CJN327707:CJN327723 BZR327707:BZR327723 BPV327707:BPV327723 BFZ327707:BFZ327723 AWD327707:AWD327723 AMH327707:AMH327723 ACL327707:ACL327723 SP327707:SP327723 IT327707:IT327723 A327707:A327723 WVF262171:WVF262187 WLJ262171:WLJ262187 WBN262171:WBN262187 VRR262171:VRR262187 VHV262171:VHV262187 UXZ262171:UXZ262187 UOD262171:UOD262187 UEH262171:UEH262187 TUL262171:TUL262187 TKP262171:TKP262187 TAT262171:TAT262187 SQX262171:SQX262187 SHB262171:SHB262187 RXF262171:RXF262187 RNJ262171:RNJ262187 RDN262171:RDN262187 QTR262171:QTR262187 QJV262171:QJV262187 PZZ262171:PZZ262187 PQD262171:PQD262187 PGH262171:PGH262187 OWL262171:OWL262187 OMP262171:OMP262187 OCT262171:OCT262187 NSX262171:NSX262187 NJB262171:NJB262187 MZF262171:MZF262187 MPJ262171:MPJ262187 MFN262171:MFN262187 LVR262171:LVR262187 LLV262171:LLV262187 LBZ262171:LBZ262187 KSD262171:KSD262187 KIH262171:KIH262187 JYL262171:JYL262187 JOP262171:JOP262187 JET262171:JET262187 IUX262171:IUX262187 ILB262171:ILB262187 IBF262171:IBF262187 HRJ262171:HRJ262187 HHN262171:HHN262187 GXR262171:GXR262187 GNV262171:GNV262187 GDZ262171:GDZ262187 FUD262171:FUD262187 FKH262171:FKH262187 FAL262171:FAL262187 EQP262171:EQP262187 EGT262171:EGT262187 DWX262171:DWX262187 DNB262171:DNB262187 DDF262171:DDF262187 CTJ262171:CTJ262187 CJN262171:CJN262187 BZR262171:BZR262187 BPV262171:BPV262187 BFZ262171:BFZ262187 AWD262171:AWD262187 AMH262171:AMH262187 ACL262171:ACL262187 SP262171:SP262187 IT262171:IT262187 A262171:A262187 WVF196635:WVF196651 WLJ196635:WLJ196651 WBN196635:WBN196651 VRR196635:VRR196651 VHV196635:VHV196651 UXZ196635:UXZ196651 UOD196635:UOD196651 UEH196635:UEH196651 TUL196635:TUL196651 TKP196635:TKP196651 TAT196635:TAT196651 SQX196635:SQX196651 SHB196635:SHB196651 RXF196635:RXF196651 RNJ196635:RNJ196651 RDN196635:RDN196651 QTR196635:QTR196651 QJV196635:QJV196651 PZZ196635:PZZ196651 PQD196635:PQD196651 PGH196635:PGH196651 OWL196635:OWL196651 OMP196635:OMP196651 OCT196635:OCT196651 NSX196635:NSX196651 NJB196635:NJB196651 MZF196635:MZF196651 MPJ196635:MPJ196651 MFN196635:MFN196651 LVR196635:LVR196651 LLV196635:LLV196651 LBZ196635:LBZ196651 KSD196635:KSD196651 KIH196635:KIH196651 JYL196635:JYL196651 JOP196635:JOP196651 JET196635:JET196651 IUX196635:IUX196651 ILB196635:ILB196651 IBF196635:IBF196651 HRJ196635:HRJ196651 HHN196635:HHN196651 GXR196635:GXR196651 GNV196635:GNV196651 GDZ196635:GDZ196651 FUD196635:FUD196651 FKH196635:FKH196651 FAL196635:FAL196651 EQP196635:EQP196651 EGT196635:EGT196651 DWX196635:DWX196651 DNB196635:DNB196651 DDF196635:DDF196651 CTJ196635:CTJ196651 CJN196635:CJN196651 BZR196635:BZR196651 BPV196635:BPV196651 BFZ196635:BFZ196651 AWD196635:AWD196651 AMH196635:AMH196651 ACL196635:ACL196651 SP196635:SP196651 IT196635:IT196651 A196635:A196651 WVF131099:WVF131115 WLJ131099:WLJ131115 WBN131099:WBN131115 VRR131099:VRR131115 VHV131099:VHV131115 UXZ131099:UXZ131115 UOD131099:UOD131115 UEH131099:UEH131115 TUL131099:TUL131115 TKP131099:TKP131115 TAT131099:TAT131115 SQX131099:SQX131115 SHB131099:SHB131115 RXF131099:RXF131115 RNJ131099:RNJ131115 RDN131099:RDN131115 QTR131099:QTR131115 QJV131099:QJV131115 PZZ131099:PZZ131115 PQD131099:PQD131115 PGH131099:PGH131115 OWL131099:OWL131115 OMP131099:OMP131115 OCT131099:OCT131115 NSX131099:NSX131115 NJB131099:NJB131115 MZF131099:MZF131115 MPJ131099:MPJ131115 MFN131099:MFN131115 LVR131099:LVR131115 LLV131099:LLV131115 LBZ131099:LBZ131115 KSD131099:KSD131115 KIH131099:KIH131115 JYL131099:JYL131115 JOP131099:JOP131115 JET131099:JET131115 IUX131099:IUX131115 ILB131099:ILB131115 IBF131099:IBF131115 HRJ131099:HRJ131115 HHN131099:HHN131115 GXR131099:GXR131115 GNV131099:GNV131115 GDZ131099:GDZ131115 FUD131099:FUD131115 FKH131099:FKH131115 FAL131099:FAL131115 EQP131099:EQP131115 EGT131099:EGT131115 DWX131099:DWX131115 DNB131099:DNB131115 DDF131099:DDF131115 CTJ131099:CTJ131115 CJN131099:CJN131115 BZR131099:BZR131115 BPV131099:BPV131115 BFZ131099:BFZ131115 AWD131099:AWD131115 AMH131099:AMH131115 ACL131099:ACL131115 SP131099:SP131115 IT131099:IT131115 A131099:A131115 WVF65563:WVF65579 WLJ65563:WLJ65579 WBN65563:WBN65579 VRR65563:VRR65579 VHV65563:VHV65579 UXZ65563:UXZ65579 UOD65563:UOD65579 UEH65563:UEH65579 TUL65563:TUL65579 TKP65563:TKP65579 TAT65563:TAT65579 SQX65563:SQX65579 SHB65563:SHB65579 RXF65563:RXF65579 RNJ65563:RNJ65579 RDN65563:RDN65579 QTR65563:QTR65579 QJV65563:QJV65579 PZZ65563:PZZ65579 PQD65563:PQD65579 PGH65563:PGH65579 OWL65563:OWL65579 OMP65563:OMP65579 OCT65563:OCT65579 NSX65563:NSX65579 NJB65563:NJB65579 MZF65563:MZF65579 MPJ65563:MPJ65579 MFN65563:MFN65579 LVR65563:LVR65579 LLV65563:LLV65579 LBZ65563:LBZ65579 KSD65563:KSD65579 KIH65563:KIH65579 JYL65563:JYL65579 JOP65563:JOP65579 JET65563:JET65579 IUX65563:IUX65579 ILB65563:ILB65579 IBF65563:IBF65579 HRJ65563:HRJ65579 HHN65563:HHN65579 GXR65563:GXR65579 GNV65563:GNV65579 GDZ65563:GDZ65579 FUD65563:FUD65579 FKH65563:FKH65579 FAL65563:FAL65579 EQP65563:EQP65579 EGT65563:EGT65579 DWX65563:DWX65579 DNB65563:DNB65579 DDF65563:DDF65579 CTJ65563:CTJ65579 CJN65563:CJN65579 BZR65563:BZR65579 BPV65563:BPV65579 BFZ65563:BFZ65579 AWD65563:AWD65579 AMH65563:AMH65579 ACL65563:ACL65579 SP65563:SP65579 IT65563:IT65579 A65563:A65579 WVF27:WVF43 WLJ27:WLJ43 WBN27:WBN43 VRR27:VRR43 VHV27:VHV43 UXZ27:UXZ43 UOD27:UOD43 UEH27:UEH43 TUL27:TUL43 TKP27:TKP43 TAT27:TAT43 SQX27:SQX43 SHB27:SHB43 RXF27:RXF43 RNJ27:RNJ43 RDN27:RDN43 QTR27:QTR43 QJV27:QJV43 PZZ27:PZZ43 PQD27:PQD43 PGH27:PGH43 OWL27:OWL43 OMP27:OMP43 OCT27:OCT43 NSX27:NSX43 NJB27:NJB43 MZF27:MZF43 MPJ27:MPJ43 MFN27:MFN43 LVR27:LVR43 LLV27:LLV43 LBZ27:LBZ43 KSD27:KSD43 KIH27:KIH43 JYL27:JYL43 JOP27:JOP43 JET27:JET43 IUX27:IUX43 ILB27:ILB43 IBF27:IBF43 HRJ27:HRJ43 HHN27:HHN43 GXR27:GXR43 GNV27:GNV43 GDZ27:GDZ43 FUD27:FUD43 FKH27:FKH43 FAL27:FAL43 EQP27:EQP43 EGT27:EGT43 DWX27:DWX43 DNB27:DNB43 DDF27:DDF43 CTJ27:CTJ43 CJN27:CJN43 BZR27:BZR43 BPV27:BPV43 BFZ27:BFZ43 AWD27:AWD43 AMH27:AMH43 ACL27:ACL43 SP27:SP43 IT27:IT43 A27:A43 WVF983042:WVF983058 WLJ983042:WLJ983058 WBN983042:WBN983058 VRR983042:VRR983058 VHV983042:VHV983058 UXZ983042:UXZ983058 UOD983042:UOD983058 UEH983042:UEH983058 TUL983042:TUL983058 TKP983042:TKP983058 TAT983042:TAT983058 SQX983042:SQX983058 SHB983042:SHB983058 RXF983042:RXF983058 RNJ983042:RNJ983058 RDN983042:RDN983058 QTR983042:QTR983058 QJV983042:QJV983058 PZZ983042:PZZ983058 PQD983042:PQD983058 PGH983042:PGH983058 OWL983042:OWL983058 OMP983042:OMP983058 OCT983042:OCT983058 NSX983042:NSX983058 NJB983042:NJB983058 MZF983042:MZF983058 MPJ983042:MPJ983058 MFN983042:MFN983058 LVR983042:LVR983058 LLV983042:LLV983058 LBZ983042:LBZ983058 KSD983042:KSD983058 KIH983042:KIH983058 JYL983042:JYL983058 JOP983042:JOP983058 JET983042:JET983058 IUX983042:IUX983058 ILB983042:ILB983058 IBF983042:IBF983058 HRJ983042:HRJ983058 HHN983042:HHN983058 GXR983042:GXR983058 GNV983042:GNV983058 GDZ983042:GDZ983058 FUD983042:FUD983058 FKH983042:FKH983058 FAL983042:FAL983058 EQP983042:EQP983058 EGT983042:EGT983058 DWX983042:DWX983058 DNB983042:DNB983058 DDF983042:DDF983058 CTJ983042:CTJ983058 CJN983042:CJN983058 BZR983042:BZR983058 BPV983042:BPV983058 BFZ983042:BFZ983058 AWD983042:AWD983058 AMH983042:AMH983058 ACL983042:ACL983058 SP983042:SP983058 IT983042:IT983058 A983042:A983058 WVF917506:WVF917522 WLJ917506:WLJ917522 WBN917506:WBN917522 VRR917506:VRR917522 VHV917506:VHV917522 UXZ917506:UXZ917522 UOD917506:UOD917522 UEH917506:UEH917522 TUL917506:TUL917522 TKP917506:TKP917522 TAT917506:TAT917522 SQX917506:SQX917522 SHB917506:SHB917522 RXF917506:RXF917522 RNJ917506:RNJ917522 RDN917506:RDN917522 QTR917506:QTR917522 QJV917506:QJV917522 PZZ917506:PZZ917522 PQD917506:PQD917522 PGH917506:PGH917522 OWL917506:OWL917522 OMP917506:OMP917522 OCT917506:OCT917522 NSX917506:NSX917522 NJB917506:NJB917522 MZF917506:MZF917522 MPJ917506:MPJ917522 MFN917506:MFN917522 LVR917506:LVR917522 LLV917506:LLV917522 LBZ917506:LBZ917522 KSD917506:KSD917522 KIH917506:KIH917522 JYL917506:JYL917522 JOP917506:JOP917522 JET917506:JET917522 IUX917506:IUX917522 ILB917506:ILB917522 IBF917506:IBF917522 HRJ917506:HRJ917522 HHN917506:HHN917522 GXR917506:GXR917522 GNV917506:GNV917522 GDZ917506:GDZ917522 FUD917506:FUD917522 FKH917506:FKH917522 FAL917506:FAL917522 EQP917506:EQP917522 EGT917506:EGT917522 DWX917506:DWX917522 DNB917506:DNB917522 DDF917506:DDF917522 CTJ917506:CTJ917522 CJN917506:CJN917522 BZR917506:BZR917522 BPV917506:BPV917522 BFZ917506:BFZ917522 AWD917506:AWD917522 AMH917506:AMH917522 ACL917506:ACL917522 SP917506:SP917522 IT917506:IT917522 A917506:A917522 WVF851970:WVF851986 WLJ851970:WLJ851986 WBN851970:WBN851986 VRR851970:VRR851986 VHV851970:VHV851986 UXZ851970:UXZ851986 UOD851970:UOD851986 UEH851970:UEH851986 TUL851970:TUL851986 TKP851970:TKP851986 TAT851970:TAT851986 SQX851970:SQX851986 SHB851970:SHB851986 RXF851970:RXF851986 RNJ851970:RNJ851986 RDN851970:RDN851986 QTR851970:QTR851986 QJV851970:QJV851986 PZZ851970:PZZ851986 PQD851970:PQD851986 PGH851970:PGH851986 OWL851970:OWL851986 OMP851970:OMP851986 OCT851970:OCT851986 NSX851970:NSX851986 NJB851970:NJB851986 MZF851970:MZF851986 MPJ851970:MPJ851986 MFN851970:MFN851986 LVR851970:LVR851986 LLV851970:LLV851986 LBZ851970:LBZ851986 KSD851970:KSD851986 KIH851970:KIH851986 JYL851970:JYL851986 JOP851970:JOP851986 JET851970:JET851986 IUX851970:IUX851986 ILB851970:ILB851986 IBF851970:IBF851986 HRJ851970:HRJ851986 HHN851970:HHN851986 GXR851970:GXR851986 GNV851970:GNV851986 GDZ851970:GDZ851986 FUD851970:FUD851986 FKH851970:FKH851986 FAL851970:FAL851986 EQP851970:EQP851986 EGT851970:EGT851986 DWX851970:DWX851986 DNB851970:DNB851986 DDF851970:DDF851986 CTJ851970:CTJ851986 CJN851970:CJN851986 BZR851970:BZR851986 BPV851970:BPV851986 BFZ851970:BFZ851986 AWD851970:AWD851986 AMH851970:AMH851986 ACL851970:ACL851986 SP851970:SP851986 IT851970:IT851986 A851970:A851986 WVF786434:WVF786450 WLJ786434:WLJ786450 WBN786434:WBN786450 VRR786434:VRR786450 VHV786434:VHV786450 UXZ786434:UXZ786450 UOD786434:UOD786450 UEH786434:UEH786450 TUL786434:TUL786450 TKP786434:TKP786450 TAT786434:TAT786450 SQX786434:SQX786450 SHB786434:SHB786450 RXF786434:RXF786450 RNJ786434:RNJ786450 RDN786434:RDN786450 QTR786434:QTR786450 QJV786434:QJV786450 PZZ786434:PZZ786450 PQD786434:PQD786450 PGH786434:PGH786450 OWL786434:OWL786450 OMP786434:OMP786450 OCT786434:OCT786450 NSX786434:NSX786450 NJB786434:NJB786450 MZF786434:MZF786450 MPJ786434:MPJ786450 MFN786434:MFN786450 LVR786434:LVR786450 LLV786434:LLV786450 LBZ786434:LBZ786450 KSD786434:KSD786450 KIH786434:KIH786450 JYL786434:JYL786450 JOP786434:JOP786450 JET786434:JET786450 IUX786434:IUX786450 ILB786434:ILB786450 IBF786434:IBF786450 HRJ786434:HRJ786450 HHN786434:HHN786450 GXR786434:GXR786450 GNV786434:GNV786450 GDZ786434:GDZ786450 FUD786434:FUD786450 FKH786434:FKH786450 FAL786434:FAL786450 EQP786434:EQP786450 EGT786434:EGT786450 DWX786434:DWX786450 DNB786434:DNB786450 DDF786434:DDF786450 CTJ786434:CTJ786450 CJN786434:CJN786450 BZR786434:BZR786450 BPV786434:BPV786450 BFZ786434:BFZ786450 AWD786434:AWD786450 AMH786434:AMH786450 ACL786434:ACL786450 SP786434:SP786450 IT786434:IT786450 A786434:A786450 WVF720898:WVF720914 WLJ720898:WLJ720914 WBN720898:WBN720914 VRR720898:VRR720914 VHV720898:VHV720914 UXZ720898:UXZ720914 UOD720898:UOD720914 UEH720898:UEH720914 TUL720898:TUL720914 TKP720898:TKP720914 TAT720898:TAT720914 SQX720898:SQX720914 SHB720898:SHB720914 RXF720898:RXF720914 RNJ720898:RNJ720914 RDN720898:RDN720914 QTR720898:QTR720914 QJV720898:QJV720914 PZZ720898:PZZ720914 PQD720898:PQD720914 PGH720898:PGH720914 OWL720898:OWL720914 OMP720898:OMP720914 OCT720898:OCT720914 NSX720898:NSX720914 NJB720898:NJB720914 MZF720898:MZF720914 MPJ720898:MPJ720914 MFN720898:MFN720914 LVR720898:LVR720914 LLV720898:LLV720914 LBZ720898:LBZ720914 KSD720898:KSD720914 KIH720898:KIH720914 JYL720898:JYL720914 JOP720898:JOP720914 JET720898:JET720914 IUX720898:IUX720914 ILB720898:ILB720914 IBF720898:IBF720914 HRJ720898:HRJ720914 HHN720898:HHN720914 GXR720898:GXR720914 GNV720898:GNV720914 GDZ720898:GDZ720914 FUD720898:FUD720914 FKH720898:FKH720914 FAL720898:FAL720914 EQP720898:EQP720914 EGT720898:EGT720914 DWX720898:DWX720914 DNB720898:DNB720914 DDF720898:DDF720914 CTJ720898:CTJ720914 CJN720898:CJN720914 BZR720898:BZR720914 BPV720898:BPV720914 BFZ720898:BFZ720914 AWD720898:AWD720914 AMH720898:AMH720914 ACL720898:ACL720914 SP720898:SP720914 IT720898:IT720914 A720898:A720914 WVF655362:WVF655378 WLJ655362:WLJ655378 WBN655362:WBN655378 VRR655362:VRR655378 VHV655362:VHV655378 UXZ655362:UXZ655378 UOD655362:UOD655378 UEH655362:UEH655378 TUL655362:TUL655378 TKP655362:TKP655378 TAT655362:TAT655378 SQX655362:SQX655378 SHB655362:SHB655378 RXF655362:RXF655378 RNJ655362:RNJ655378 RDN655362:RDN655378 QTR655362:QTR655378 QJV655362:QJV655378 PZZ655362:PZZ655378 PQD655362:PQD655378 PGH655362:PGH655378 OWL655362:OWL655378 OMP655362:OMP655378 OCT655362:OCT655378 NSX655362:NSX655378 NJB655362:NJB655378 MZF655362:MZF655378 MPJ655362:MPJ655378 MFN655362:MFN655378 LVR655362:LVR655378 LLV655362:LLV655378 LBZ655362:LBZ655378 KSD655362:KSD655378 KIH655362:KIH655378 JYL655362:JYL655378 JOP655362:JOP655378 JET655362:JET655378 IUX655362:IUX655378 ILB655362:ILB655378 IBF655362:IBF655378 HRJ655362:HRJ655378 HHN655362:HHN655378 GXR655362:GXR655378 GNV655362:GNV655378 GDZ655362:GDZ655378 FUD655362:FUD655378 FKH655362:FKH655378 FAL655362:FAL655378 EQP655362:EQP655378 EGT655362:EGT655378 DWX655362:DWX655378 DNB655362:DNB655378 DDF655362:DDF655378 CTJ655362:CTJ655378 CJN655362:CJN655378 BZR655362:BZR655378 BPV655362:BPV655378 BFZ655362:BFZ655378 AWD655362:AWD655378 AMH655362:AMH655378 ACL655362:ACL655378 SP655362:SP655378 IT655362:IT655378 A655362:A655378 WVF589826:WVF589842 WLJ589826:WLJ589842 WBN589826:WBN589842 VRR589826:VRR589842 VHV589826:VHV589842 UXZ589826:UXZ589842 UOD589826:UOD589842 UEH589826:UEH589842 TUL589826:TUL589842 TKP589826:TKP589842 TAT589826:TAT589842 SQX589826:SQX589842 SHB589826:SHB589842 RXF589826:RXF589842 RNJ589826:RNJ589842 RDN589826:RDN589842 QTR589826:QTR589842 QJV589826:QJV589842 PZZ589826:PZZ589842 PQD589826:PQD589842 PGH589826:PGH589842 OWL589826:OWL589842 OMP589826:OMP589842 OCT589826:OCT589842 NSX589826:NSX589842 NJB589826:NJB589842 MZF589826:MZF589842 MPJ589826:MPJ589842 MFN589826:MFN589842 LVR589826:LVR589842 LLV589826:LLV589842 LBZ589826:LBZ589842 KSD589826:KSD589842 KIH589826:KIH589842 JYL589826:JYL589842 JOP589826:JOP589842 JET589826:JET589842 IUX589826:IUX589842 ILB589826:ILB589842 IBF589826:IBF589842 HRJ589826:HRJ589842 HHN589826:HHN589842 GXR589826:GXR589842 GNV589826:GNV589842 GDZ589826:GDZ589842 FUD589826:FUD589842 FKH589826:FKH589842 FAL589826:FAL589842 EQP589826:EQP589842 EGT589826:EGT589842 DWX589826:DWX589842 DNB589826:DNB589842 DDF589826:DDF589842 CTJ589826:CTJ589842 CJN589826:CJN589842 BZR589826:BZR589842 BPV589826:BPV589842 BFZ589826:BFZ589842 AWD589826:AWD589842 AMH589826:AMH589842 ACL589826:ACL589842 SP589826:SP589842 IT589826:IT589842 A589826:A589842 WVF524290:WVF524306 WLJ524290:WLJ524306 WBN524290:WBN524306 VRR524290:VRR524306 VHV524290:VHV524306 UXZ524290:UXZ524306 UOD524290:UOD524306 UEH524290:UEH524306 TUL524290:TUL524306 TKP524290:TKP524306 TAT524290:TAT524306 SQX524290:SQX524306 SHB524290:SHB524306 RXF524290:RXF524306 RNJ524290:RNJ524306 RDN524290:RDN524306 QTR524290:QTR524306 QJV524290:QJV524306 PZZ524290:PZZ524306 PQD524290:PQD524306 PGH524290:PGH524306 OWL524290:OWL524306 OMP524290:OMP524306 OCT524290:OCT524306 NSX524290:NSX524306 NJB524290:NJB524306 MZF524290:MZF524306 MPJ524290:MPJ524306 MFN524290:MFN524306 LVR524290:LVR524306 LLV524290:LLV524306 LBZ524290:LBZ524306 KSD524290:KSD524306 KIH524290:KIH524306 JYL524290:JYL524306 JOP524290:JOP524306 JET524290:JET524306 IUX524290:IUX524306 ILB524290:ILB524306 IBF524290:IBF524306 HRJ524290:HRJ524306 HHN524290:HHN524306 GXR524290:GXR524306 GNV524290:GNV524306 GDZ524290:GDZ524306 FUD524290:FUD524306 FKH524290:FKH524306 FAL524290:FAL524306 EQP524290:EQP524306 EGT524290:EGT524306 DWX524290:DWX524306 DNB524290:DNB524306 DDF524290:DDF524306 CTJ524290:CTJ524306 CJN524290:CJN524306 BZR524290:BZR524306 BPV524290:BPV524306 BFZ524290:BFZ524306 AWD524290:AWD524306 AMH524290:AMH524306 ACL524290:ACL524306 SP524290:SP524306 IT524290:IT524306 A524290:A524306 WVF458754:WVF458770 WLJ458754:WLJ458770 WBN458754:WBN458770 VRR458754:VRR458770 VHV458754:VHV458770 UXZ458754:UXZ458770 UOD458754:UOD458770 UEH458754:UEH458770 TUL458754:TUL458770 TKP458754:TKP458770 TAT458754:TAT458770 SQX458754:SQX458770 SHB458754:SHB458770 RXF458754:RXF458770 RNJ458754:RNJ458770 RDN458754:RDN458770 QTR458754:QTR458770 QJV458754:QJV458770 PZZ458754:PZZ458770 PQD458754:PQD458770 PGH458754:PGH458770 OWL458754:OWL458770 OMP458754:OMP458770 OCT458754:OCT458770 NSX458754:NSX458770 NJB458754:NJB458770 MZF458754:MZF458770 MPJ458754:MPJ458770 MFN458754:MFN458770 LVR458754:LVR458770 LLV458754:LLV458770 LBZ458754:LBZ458770 KSD458754:KSD458770 KIH458754:KIH458770 JYL458754:JYL458770 JOP458754:JOP458770 JET458754:JET458770 IUX458754:IUX458770 ILB458754:ILB458770 IBF458754:IBF458770 HRJ458754:HRJ458770 HHN458754:HHN458770 GXR458754:GXR458770 GNV458754:GNV458770 GDZ458754:GDZ458770 FUD458754:FUD458770 FKH458754:FKH458770 FAL458754:FAL458770 EQP458754:EQP458770 EGT458754:EGT458770 DWX458754:DWX458770 DNB458754:DNB458770 DDF458754:DDF458770 CTJ458754:CTJ458770 CJN458754:CJN458770 BZR458754:BZR458770 BPV458754:BPV458770 BFZ458754:BFZ458770 AWD458754:AWD458770 AMH458754:AMH458770 ACL458754:ACL458770 SP458754:SP458770 IT458754:IT458770 A458754:A458770 WVF393218:WVF393234 WLJ393218:WLJ393234 WBN393218:WBN393234 VRR393218:VRR393234 VHV393218:VHV393234 UXZ393218:UXZ393234 UOD393218:UOD393234 UEH393218:UEH393234 TUL393218:TUL393234 TKP393218:TKP393234 TAT393218:TAT393234 SQX393218:SQX393234 SHB393218:SHB393234 RXF393218:RXF393234 RNJ393218:RNJ393234 RDN393218:RDN393234 QTR393218:QTR393234 QJV393218:QJV393234 PZZ393218:PZZ393234 PQD393218:PQD393234 PGH393218:PGH393234 OWL393218:OWL393234 OMP393218:OMP393234 OCT393218:OCT393234 NSX393218:NSX393234 NJB393218:NJB393234 MZF393218:MZF393234 MPJ393218:MPJ393234 MFN393218:MFN393234 LVR393218:LVR393234 LLV393218:LLV393234 LBZ393218:LBZ393234 KSD393218:KSD393234 KIH393218:KIH393234 JYL393218:JYL393234 JOP393218:JOP393234 JET393218:JET393234 IUX393218:IUX393234 ILB393218:ILB393234 IBF393218:IBF393234 HRJ393218:HRJ393234 HHN393218:HHN393234 GXR393218:GXR393234 GNV393218:GNV393234 GDZ393218:GDZ393234 FUD393218:FUD393234 FKH393218:FKH393234 FAL393218:FAL393234 EQP393218:EQP393234 EGT393218:EGT393234 DWX393218:DWX393234 DNB393218:DNB393234 DDF393218:DDF393234 CTJ393218:CTJ393234 CJN393218:CJN393234 BZR393218:BZR393234 BPV393218:BPV393234 BFZ393218:BFZ393234 AWD393218:AWD393234 AMH393218:AMH393234 ACL393218:ACL393234 SP393218:SP393234 IT393218:IT393234 A393218:A393234 WVF327682:WVF327698 WLJ327682:WLJ327698 WBN327682:WBN327698 VRR327682:VRR327698 VHV327682:VHV327698 UXZ327682:UXZ327698 UOD327682:UOD327698 UEH327682:UEH327698 TUL327682:TUL327698 TKP327682:TKP327698 TAT327682:TAT327698 SQX327682:SQX327698 SHB327682:SHB327698 RXF327682:RXF327698 RNJ327682:RNJ327698 RDN327682:RDN327698 QTR327682:QTR327698 QJV327682:QJV327698 PZZ327682:PZZ327698 PQD327682:PQD327698 PGH327682:PGH327698 OWL327682:OWL327698 OMP327682:OMP327698 OCT327682:OCT327698 NSX327682:NSX327698 NJB327682:NJB327698 MZF327682:MZF327698 MPJ327682:MPJ327698 MFN327682:MFN327698 LVR327682:LVR327698 LLV327682:LLV327698 LBZ327682:LBZ327698 KSD327682:KSD327698 KIH327682:KIH327698 JYL327682:JYL327698 JOP327682:JOP327698 JET327682:JET327698 IUX327682:IUX327698 ILB327682:ILB327698 IBF327682:IBF327698 HRJ327682:HRJ327698 HHN327682:HHN327698 GXR327682:GXR327698 GNV327682:GNV327698 GDZ327682:GDZ327698 FUD327682:FUD327698 FKH327682:FKH327698 FAL327682:FAL327698 EQP327682:EQP327698 EGT327682:EGT327698 DWX327682:DWX327698 DNB327682:DNB327698 DDF327682:DDF327698 CTJ327682:CTJ327698 CJN327682:CJN327698 BZR327682:BZR327698 BPV327682:BPV327698 BFZ327682:BFZ327698 AWD327682:AWD327698 AMH327682:AMH327698 ACL327682:ACL327698 SP327682:SP327698 IT327682:IT327698 A327682:A327698 WVF262146:WVF262162 WLJ262146:WLJ262162 WBN262146:WBN262162 VRR262146:VRR262162 VHV262146:VHV262162 UXZ262146:UXZ262162 UOD262146:UOD262162 UEH262146:UEH262162 TUL262146:TUL262162 TKP262146:TKP262162 TAT262146:TAT262162 SQX262146:SQX262162 SHB262146:SHB262162 RXF262146:RXF262162 RNJ262146:RNJ262162 RDN262146:RDN262162 QTR262146:QTR262162 QJV262146:QJV262162 PZZ262146:PZZ262162 PQD262146:PQD262162 PGH262146:PGH262162 OWL262146:OWL262162 OMP262146:OMP262162 OCT262146:OCT262162 NSX262146:NSX262162 NJB262146:NJB262162 MZF262146:MZF262162 MPJ262146:MPJ262162 MFN262146:MFN262162 LVR262146:LVR262162 LLV262146:LLV262162 LBZ262146:LBZ262162 KSD262146:KSD262162 KIH262146:KIH262162 JYL262146:JYL262162 JOP262146:JOP262162 JET262146:JET262162 IUX262146:IUX262162 ILB262146:ILB262162 IBF262146:IBF262162 HRJ262146:HRJ262162 HHN262146:HHN262162 GXR262146:GXR262162 GNV262146:GNV262162 GDZ262146:GDZ262162 FUD262146:FUD262162 FKH262146:FKH262162 FAL262146:FAL262162 EQP262146:EQP262162 EGT262146:EGT262162 DWX262146:DWX262162 DNB262146:DNB262162 DDF262146:DDF262162 CTJ262146:CTJ262162 CJN262146:CJN262162 BZR262146:BZR262162 BPV262146:BPV262162 BFZ262146:BFZ262162 AWD262146:AWD262162 AMH262146:AMH262162 ACL262146:ACL262162 SP262146:SP262162 IT262146:IT262162 A262146:A262162 WVF196610:WVF196626 WLJ196610:WLJ196626 WBN196610:WBN196626 VRR196610:VRR196626 VHV196610:VHV196626 UXZ196610:UXZ196626 UOD196610:UOD196626 UEH196610:UEH196626 TUL196610:TUL196626 TKP196610:TKP196626 TAT196610:TAT196626 SQX196610:SQX196626 SHB196610:SHB196626 RXF196610:RXF196626 RNJ196610:RNJ196626 RDN196610:RDN196626 QTR196610:QTR196626 QJV196610:QJV196626 PZZ196610:PZZ196626 PQD196610:PQD196626 PGH196610:PGH196626 OWL196610:OWL196626 OMP196610:OMP196626 OCT196610:OCT196626 NSX196610:NSX196626 NJB196610:NJB196626 MZF196610:MZF196626 MPJ196610:MPJ196626 MFN196610:MFN196626 LVR196610:LVR196626 LLV196610:LLV196626 LBZ196610:LBZ196626 KSD196610:KSD196626 KIH196610:KIH196626 JYL196610:JYL196626 JOP196610:JOP196626 JET196610:JET196626 IUX196610:IUX196626 ILB196610:ILB196626 IBF196610:IBF196626 HRJ196610:HRJ196626 HHN196610:HHN196626 GXR196610:GXR196626 GNV196610:GNV196626 GDZ196610:GDZ196626 FUD196610:FUD196626 FKH196610:FKH196626 FAL196610:FAL196626 EQP196610:EQP196626 EGT196610:EGT196626 DWX196610:DWX196626 DNB196610:DNB196626 DDF196610:DDF196626 CTJ196610:CTJ196626 CJN196610:CJN196626 BZR196610:BZR196626 BPV196610:BPV196626 BFZ196610:BFZ196626 AWD196610:AWD196626 AMH196610:AMH196626 ACL196610:ACL196626 SP196610:SP196626 IT196610:IT196626 A196610:A196626 WVF131074:WVF131090 WLJ131074:WLJ131090 WBN131074:WBN131090 VRR131074:VRR131090 VHV131074:VHV131090 UXZ131074:UXZ131090 UOD131074:UOD131090 UEH131074:UEH131090 TUL131074:TUL131090 TKP131074:TKP131090 TAT131074:TAT131090 SQX131074:SQX131090 SHB131074:SHB131090 RXF131074:RXF131090 RNJ131074:RNJ131090 RDN131074:RDN131090 QTR131074:QTR131090 QJV131074:QJV131090 PZZ131074:PZZ131090 PQD131074:PQD131090 PGH131074:PGH131090 OWL131074:OWL131090 OMP131074:OMP131090 OCT131074:OCT131090 NSX131074:NSX131090 NJB131074:NJB131090 MZF131074:MZF131090 MPJ131074:MPJ131090 MFN131074:MFN131090 LVR131074:LVR131090 LLV131074:LLV131090 LBZ131074:LBZ131090 KSD131074:KSD131090 KIH131074:KIH131090 JYL131074:JYL131090 JOP131074:JOP131090 JET131074:JET131090 IUX131074:IUX131090 ILB131074:ILB131090 IBF131074:IBF131090 HRJ131074:HRJ131090 HHN131074:HHN131090 GXR131074:GXR131090 GNV131074:GNV131090 GDZ131074:GDZ131090 FUD131074:FUD131090 FKH131074:FKH131090 FAL131074:FAL131090 EQP131074:EQP131090 EGT131074:EGT131090 DWX131074:DWX131090 DNB131074:DNB131090 DDF131074:DDF131090 CTJ131074:CTJ131090 CJN131074:CJN131090 BZR131074:BZR131090 BPV131074:BPV131090 BFZ131074:BFZ131090 AWD131074:AWD131090 AMH131074:AMH131090 ACL131074:ACL131090 SP131074:SP131090 IT131074:IT131090 A131074:A131090 WVF65538:WVF65554 WLJ65538:WLJ65554 WBN65538:WBN65554 VRR65538:VRR65554 VHV65538:VHV65554 UXZ65538:UXZ65554 UOD65538:UOD65554 UEH65538:UEH65554 TUL65538:TUL65554 TKP65538:TKP65554 TAT65538:TAT65554 SQX65538:SQX65554 SHB65538:SHB65554 RXF65538:RXF65554 RNJ65538:RNJ65554 RDN65538:RDN65554 QTR65538:QTR65554 QJV65538:QJV65554 PZZ65538:PZZ65554 PQD65538:PQD65554 PGH65538:PGH65554 OWL65538:OWL65554 OMP65538:OMP65554 OCT65538:OCT65554 NSX65538:NSX65554 NJB65538:NJB65554 MZF65538:MZF65554 MPJ65538:MPJ65554 MFN65538:MFN65554 LVR65538:LVR65554 LLV65538:LLV65554 LBZ65538:LBZ65554 KSD65538:KSD65554 KIH65538:KIH65554 JYL65538:JYL65554 JOP65538:JOP65554 JET65538:JET65554 IUX65538:IUX65554 ILB65538:ILB65554 IBF65538:IBF65554 HRJ65538:HRJ65554 HHN65538:HHN65554 GXR65538:GXR65554 GNV65538:GNV65554 GDZ65538:GDZ65554 FUD65538:FUD65554 FKH65538:FKH65554 FAL65538:FAL65554 EQP65538:EQP65554 EGT65538:EGT65554 DWX65538:DWX65554 DNB65538:DNB65554 DDF65538:DDF65554 CTJ65538:CTJ65554 CJN65538:CJN65554 BZR65538:BZR65554 BPV65538:BPV65554 BFZ65538:BFZ65554 AWD65538:AWD65554 AMH65538:AMH65554 ACL65538:ACL65554 SP65538:SP65554 IT65538:IT65554 A65538:A65554 WVF2:WVF18 WLJ2:WLJ18 WBN2:WBN18 VRR2:VRR18 VHV2:VHV18 UXZ2:UXZ18 UOD2:UOD18 UEH2:UEH18 TUL2:TUL18 TKP2:TKP18 TAT2:TAT18 SQX2:SQX18 SHB2:SHB18 RXF2:RXF18 RNJ2:RNJ18 RDN2:RDN18 QTR2:QTR18 QJV2:QJV18 PZZ2:PZZ18 PQD2:PQD18 PGH2:PGH18 OWL2:OWL18 OMP2:OMP18 OCT2:OCT18 NSX2:NSX18 NJB2:NJB18 MZF2:MZF18 MPJ2:MPJ18 MFN2:MFN18 LVR2:LVR18 LLV2:LLV18 LBZ2:LBZ18 KSD2:KSD18 KIH2:KIH18 JYL2:JYL18 JOP2:JOP18 JET2:JET18 IUX2:IUX18 ILB2:ILB18 IBF2:IBF18 HRJ2:HRJ18 HHN2:HHN18 GXR2:GXR18 GNV2:GNV18 GDZ2:GDZ18 FUD2:FUD18 FKH2:FKH18 FAL2:FAL18 EQP2:EQP18 EGT2:EGT18 DWX2:DWX18 DNB2:DNB18 DDF2:DDF18 CTJ2:CTJ18 CJN2:CJN18 BZR2:BZR18 BPV2:BPV18 BFZ2:BFZ18 AWD2:AWD18 AMH2:AMH18 ACL2:ACL18 SP2:SP18 IT2:IT18" xr:uid="{56A844D2-9710-46A3-B6BB-9E200621BDAC}">
      <formula1>$G$2:$G$52</formula1>
    </dataValidation>
  </dataValidation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8B2BE-C8CD-4221-B830-F2A230F9256A}">
  <dimension ref="A4:I36"/>
  <sheetViews>
    <sheetView workbookViewId="0">
      <pane xSplit="3" ySplit="2" topLeftCell="D3" activePane="bottomRight" state="frozen"/>
      <selection activeCell="D17" sqref="D17"/>
      <selection pane="topRight" activeCell="D17" sqref="D17"/>
      <selection pane="bottomLeft" activeCell="D17" sqref="D17"/>
      <selection pane="bottomRight" activeCell="D17" sqref="D17"/>
    </sheetView>
  </sheetViews>
  <sheetFormatPr defaultColWidth="25" defaultRowHeight="12.75"/>
  <cols>
    <col min="1" max="1" width="3.85546875" style="1" bestFit="1" customWidth="1"/>
    <col min="2" max="2" width="11.42578125" style="9" customWidth="1"/>
    <col min="3" max="3" width="30.28515625" style="1" bestFit="1" customWidth="1"/>
    <col min="4" max="4" width="13.7109375" style="350" customWidth="1"/>
    <col min="5" max="5" width="13.7109375" style="350" bestFit="1" customWidth="1"/>
    <col min="6" max="6" width="14.42578125" style="350" bestFit="1" customWidth="1"/>
    <col min="7" max="8" width="0" style="1" hidden="1" customWidth="1"/>
    <col min="9" max="16384" width="25" style="1"/>
  </cols>
  <sheetData>
    <row r="4" spans="1:9" s="349" customFormat="1" ht="24.6" customHeight="1">
      <c r="A4" s="361" t="s">
        <v>4</v>
      </c>
      <c r="B4" s="361" t="s">
        <v>100</v>
      </c>
      <c r="C4" s="361" t="s">
        <v>799</v>
      </c>
      <c r="D4" s="362" t="s">
        <v>104</v>
      </c>
      <c r="E4" s="362" t="s">
        <v>613</v>
      </c>
      <c r="F4" s="362" t="s">
        <v>118</v>
      </c>
      <c r="G4" s="349" t="s">
        <v>677</v>
      </c>
      <c r="H4" s="1" t="s">
        <v>678</v>
      </c>
      <c r="I4" s="1"/>
    </row>
    <row r="5" spans="1:9" s="349" customFormat="1">
      <c r="A5" s="2">
        <v>0</v>
      </c>
      <c r="B5" s="358" t="s">
        <v>821</v>
      </c>
      <c r="C5" s="359" t="s">
        <v>816</v>
      </c>
      <c r="D5" s="360">
        <v>430000000</v>
      </c>
      <c r="E5" s="360"/>
      <c r="F5" s="360">
        <f>+D5</f>
        <v>430000000</v>
      </c>
      <c r="G5" s="349" t="s">
        <v>819</v>
      </c>
      <c r="H5" s="1" t="str">
        <f>+'Guilgee balans'!C31</f>
        <v>Тооцоо- ЛИЙ захирал</v>
      </c>
      <c r="I5" s="1"/>
    </row>
    <row r="6" spans="1:9">
      <c r="A6" s="2">
        <v>1</v>
      </c>
      <c r="B6" s="358" t="s">
        <v>812</v>
      </c>
      <c r="C6" s="359" t="s">
        <v>817</v>
      </c>
      <c r="D6" s="360"/>
      <c r="E6" s="360">
        <v>210600000</v>
      </c>
      <c r="F6" s="360">
        <f>D6+F5-E6</f>
        <v>219400000</v>
      </c>
      <c r="G6" s="1" t="s">
        <v>386</v>
      </c>
    </row>
    <row r="7" spans="1:9">
      <c r="A7" s="2">
        <v>2</v>
      </c>
      <c r="B7" s="358" t="str">
        <f>+BM!B16</f>
        <v>2025.01.24</v>
      </c>
      <c r="C7" s="359" t="s">
        <v>267</v>
      </c>
      <c r="D7" s="363">
        <v>1210000</v>
      </c>
      <c r="E7" s="360"/>
      <c r="F7" s="360">
        <f t="shared" ref="F7:F29" si="0">D7+F6-E7</f>
        <v>220610000</v>
      </c>
      <c r="G7" s="1" t="s">
        <v>386</v>
      </c>
    </row>
    <row r="8" spans="1:9">
      <c r="A8" s="2">
        <v>3</v>
      </c>
      <c r="B8" s="358" t="s">
        <v>801</v>
      </c>
      <c r="C8" s="2" t="s">
        <v>800</v>
      </c>
      <c r="D8" s="360"/>
      <c r="E8" s="360">
        <v>5000000</v>
      </c>
      <c r="F8" s="360">
        <f t="shared" si="0"/>
        <v>215610000</v>
      </c>
      <c r="G8" s="1" t="s">
        <v>386</v>
      </c>
    </row>
    <row r="9" spans="1:9">
      <c r="A9" s="2">
        <v>4</v>
      </c>
      <c r="B9" s="2" t="s">
        <v>801</v>
      </c>
      <c r="C9" s="371" t="s">
        <v>811</v>
      </c>
      <c r="D9" s="360"/>
      <c r="E9" s="360">
        <v>549630</v>
      </c>
      <c r="F9" s="360">
        <f t="shared" si="0"/>
        <v>215060370</v>
      </c>
    </row>
    <row r="10" spans="1:9">
      <c r="A10" s="2">
        <v>5</v>
      </c>
      <c r="B10" s="2" t="s">
        <v>802</v>
      </c>
      <c r="C10" s="2" t="s">
        <v>811</v>
      </c>
      <c r="D10" s="360"/>
      <c r="E10" s="360">
        <v>549630</v>
      </c>
      <c r="F10" s="360">
        <f t="shared" si="0"/>
        <v>214510740</v>
      </c>
    </row>
    <row r="11" spans="1:9">
      <c r="A11" s="2">
        <v>6</v>
      </c>
      <c r="B11" s="358" t="s">
        <v>813</v>
      </c>
      <c r="C11" s="359" t="s">
        <v>817</v>
      </c>
      <c r="D11" s="360"/>
      <c r="E11" s="360">
        <v>181640000</v>
      </c>
      <c r="F11" s="360">
        <f t="shared" si="0"/>
        <v>32870740</v>
      </c>
    </row>
    <row r="12" spans="1:9">
      <c r="A12" s="2">
        <v>7</v>
      </c>
      <c r="B12" s="2" t="s">
        <v>803</v>
      </c>
      <c r="C12" s="2" t="s">
        <v>811</v>
      </c>
      <c r="D12" s="360"/>
      <c r="E12" s="360">
        <v>549630</v>
      </c>
      <c r="F12" s="360">
        <f t="shared" si="0"/>
        <v>32321110</v>
      </c>
    </row>
    <row r="13" spans="1:9">
      <c r="A13" s="2">
        <v>8</v>
      </c>
      <c r="B13" s="358" t="s">
        <v>814</v>
      </c>
      <c r="C13" s="359" t="s">
        <v>817</v>
      </c>
      <c r="D13" s="360"/>
      <c r="E13" s="360">
        <v>24829200</v>
      </c>
      <c r="F13" s="360">
        <f t="shared" si="0"/>
        <v>7491910</v>
      </c>
    </row>
    <row r="14" spans="1:9">
      <c r="A14" s="2">
        <v>9</v>
      </c>
      <c r="B14" s="10" t="str">
        <f>+Sheet3!B33</f>
        <v>2025.04.31</v>
      </c>
      <c r="C14" s="359" t="s">
        <v>282</v>
      </c>
      <c r="D14" s="363">
        <v>1245000</v>
      </c>
      <c r="E14" s="360"/>
      <c r="F14" s="360">
        <f t="shared" si="0"/>
        <v>8736910</v>
      </c>
    </row>
    <row r="15" spans="1:9">
      <c r="A15" s="2">
        <v>10</v>
      </c>
      <c r="B15" s="2" t="s">
        <v>292</v>
      </c>
      <c r="C15" s="2" t="s">
        <v>811</v>
      </c>
      <c r="D15" s="360"/>
      <c r="E15" s="360">
        <v>655956</v>
      </c>
      <c r="F15" s="360">
        <f t="shared" si="0"/>
        <v>8080954</v>
      </c>
    </row>
    <row r="16" spans="1:9">
      <c r="A16" s="2">
        <v>11</v>
      </c>
      <c r="B16" s="2" t="s">
        <v>804</v>
      </c>
      <c r="C16" s="2" t="s">
        <v>811</v>
      </c>
      <c r="D16" s="360"/>
      <c r="E16" s="360">
        <v>655956</v>
      </c>
      <c r="F16" s="360">
        <f t="shared" si="0"/>
        <v>7424998</v>
      </c>
    </row>
    <row r="17" spans="1:6">
      <c r="A17" s="2">
        <v>12</v>
      </c>
      <c r="B17" s="9" t="str">
        <f>+BM!B33</f>
        <v>2025.06.30</v>
      </c>
      <c r="C17" s="359" t="s">
        <v>272</v>
      </c>
      <c r="D17" s="363">
        <v>5950000</v>
      </c>
      <c r="E17" s="360"/>
      <c r="F17" s="360">
        <f t="shared" si="0"/>
        <v>13374998</v>
      </c>
    </row>
    <row r="18" spans="1:6">
      <c r="A18" s="2"/>
      <c r="B18" s="1" t="s">
        <v>805</v>
      </c>
      <c r="C18" s="2" t="s">
        <v>811</v>
      </c>
      <c r="D18" s="360"/>
      <c r="E18" s="360">
        <v>655956</v>
      </c>
      <c r="F18" s="360">
        <f t="shared" si="0"/>
        <v>12719042</v>
      </c>
    </row>
    <row r="19" spans="1:6">
      <c r="A19" s="2"/>
      <c r="B19" s="9" t="str">
        <f>+Sheet3!B43</f>
        <v>2025.07.08</v>
      </c>
      <c r="C19" s="359" t="s">
        <v>310</v>
      </c>
      <c r="D19" s="363">
        <v>3400000</v>
      </c>
      <c r="E19" s="360"/>
      <c r="F19" s="360">
        <f t="shared" si="0"/>
        <v>16119042</v>
      </c>
    </row>
    <row r="20" spans="1:6">
      <c r="A20" s="2"/>
      <c r="B20" s="9" t="str">
        <f>+BM!B35</f>
        <v>2025.07.24</v>
      </c>
      <c r="C20" s="359" t="s">
        <v>277</v>
      </c>
      <c r="D20" s="363">
        <v>1260000</v>
      </c>
      <c r="E20" s="360"/>
      <c r="F20" s="360">
        <f t="shared" si="0"/>
        <v>17379042</v>
      </c>
    </row>
    <row r="21" spans="1:6">
      <c r="A21" s="2"/>
      <c r="B21" s="9" t="str">
        <f>+Sheet3!B46</f>
        <v>2025.07.25</v>
      </c>
      <c r="C21" s="359" t="s">
        <v>317</v>
      </c>
      <c r="D21" s="363">
        <v>3780000</v>
      </c>
      <c r="E21" s="360"/>
      <c r="F21" s="360">
        <f t="shared" si="0"/>
        <v>21159042</v>
      </c>
    </row>
    <row r="22" spans="1:6">
      <c r="A22" s="2"/>
      <c r="B22" s="1" t="s">
        <v>807</v>
      </c>
      <c r="C22" s="2" t="s">
        <v>811</v>
      </c>
      <c r="D22" s="360"/>
      <c r="E22" s="360">
        <v>655956</v>
      </c>
      <c r="F22" s="360">
        <f t="shared" si="0"/>
        <v>20503086</v>
      </c>
    </row>
    <row r="23" spans="1:6">
      <c r="A23" s="2"/>
      <c r="B23" s="1" t="s">
        <v>806</v>
      </c>
      <c r="C23" s="2" t="s">
        <v>811</v>
      </c>
      <c r="D23" s="360"/>
      <c r="E23" s="360">
        <v>655956</v>
      </c>
      <c r="F23" s="360">
        <f t="shared" si="0"/>
        <v>19847130</v>
      </c>
    </row>
    <row r="24" spans="1:6">
      <c r="A24" s="2">
        <v>13</v>
      </c>
      <c r="B24" s="1" t="s">
        <v>808</v>
      </c>
      <c r="C24" s="2" t="s">
        <v>811</v>
      </c>
      <c r="D24" s="360"/>
      <c r="E24" s="360">
        <v>655956</v>
      </c>
      <c r="F24" s="360">
        <f t="shared" si="0"/>
        <v>19191174</v>
      </c>
    </row>
    <row r="25" spans="1:6">
      <c r="A25" s="2">
        <v>14</v>
      </c>
      <c r="B25" s="1" t="s">
        <v>333</v>
      </c>
      <c r="C25" s="2" t="s">
        <v>811</v>
      </c>
      <c r="D25" s="360"/>
      <c r="E25" s="360">
        <v>655956</v>
      </c>
      <c r="F25" s="360">
        <f t="shared" si="0"/>
        <v>18535218</v>
      </c>
    </row>
    <row r="26" spans="1:6">
      <c r="A26" s="2">
        <v>15</v>
      </c>
      <c r="B26" s="1" t="s">
        <v>333</v>
      </c>
      <c r="C26" s="2" t="s">
        <v>811</v>
      </c>
      <c r="D26" s="360"/>
      <c r="E26" s="360">
        <v>31232</v>
      </c>
      <c r="F26" s="360">
        <f t="shared" si="0"/>
        <v>18503986</v>
      </c>
    </row>
    <row r="27" spans="1:6">
      <c r="A27" s="2">
        <v>16</v>
      </c>
      <c r="B27" s="370" t="s">
        <v>820</v>
      </c>
      <c r="C27" s="359" t="s">
        <v>962</v>
      </c>
      <c r="D27" s="360"/>
      <c r="E27" s="360">
        <v>11434091.879729405</v>
      </c>
      <c r="F27" s="360">
        <f t="shared" si="0"/>
        <v>7069894.120270595</v>
      </c>
    </row>
    <row r="28" spans="1:6">
      <c r="A28" s="2">
        <v>17</v>
      </c>
      <c r="B28" s="10" t="s">
        <v>809</v>
      </c>
      <c r="C28" s="2" t="s">
        <v>811</v>
      </c>
      <c r="D28" s="360"/>
      <c r="E28" s="360">
        <v>655956</v>
      </c>
      <c r="F28" s="360">
        <f t="shared" si="0"/>
        <v>6413938.120270595</v>
      </c>
    </row>
    <row r="29" spans="1:6">
      <c r="A29" s="2">
        <v>18</v>
      </c>
      <c r="B29" s="10" t="s">
        <v>810</v>
      </c>
      <c r="C29" s="2" t="s">
        <v>811</v>
      </c>
      <c r="D29" s="360"/>
      <c r="E29" s="360">
        <v>655956</v>
      </c>
      <c r="F29" s="360">
        <f t="shared" si="0"/>
        <v>5757982.120270595</v>
      </c>
    </row>
    <row r="30" spans="1:6">
      <c r="A30" s="2"/>
      <c r="B30" s="10"/>
      <c r="C30" s="2"/>
      <c r="D30" s="367">
        <f>SUM(D5:D29)</f>
        <v>446845000</v>
      </c>
      <c r="E30" s="367">
        <f>SUM(E5:E29)</f>
        <v>441087017.87972939</v>
      </c>
      <c r="F30" s="360"/>
    </row>
    <row r="36" spans="8:8">
      <c r="H36" s="1">
        <v>0</v>
      </c>
    </row>
  </sheetData>
  <sortState xmlns:xlrd2="http://schemas.microsoft.com/office/spreadsheetml/2017/richdata2" ref="B5:E29">
    <sortCondition ref="B5:B29"/>
  </sortState>
  <phoneticPr fontId="46"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21648-23FF-47EC-A413-43B9E2CDECDE}">
  <dimension ref="A1"/>
  <sheetViews>
    <sheetView workbookViewId="0">
      <selection activeCell="L17" sqref="L17"/>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19</vt:i4>
      </vt:variant>
      <vt:variant>
        <vt:lpstr>이름 지정된 범위</vt:lpstr>
      </vt:variant>
      <vt:variant>
        <vt:i4>1</vt:i4>
      </vt:variant>
    </vt:vector>
  </HeadingPairs>
  <TitlesOfParts>
    <vt:vector size="20" baseType="lpstr">
      <vt:lpstr>Dans</vt:lpstr>
      <vt:lpstr>Guilgee balans</vt:lpstr>
      <vt:lpstr>Nuur</vt:lpstr>
      <vt:lpstr>ST1</vt:lpstr>
      <vt:lpstr>ST2</vt:lpstr>
      <vt:lpstr>ST3</vt:lpstr>
      <vt:lpstr>ST4</vt:lpstr>
      <vt:lpstr>Tod</vt:lpstr>
      <vt:lpstr>Gaali-2025</vt:lpstr>
      <vt:lpstr>Gaali</vt:lpstr>
      <vt:lpstr>Sheet2</vt:lpstr>
      <vt:lpstr>BM</vt:lpstr>
      <vt:lpstr>Sheet3</vt:lpstr>
      <vt:lpstr>Vat</vt:lpstr>
      <vt:lpstr>Salary</vt:lpstr>
      <vt:lpstr>Dot-Hud</vt:lpstr>
      <vt:lpstr>Bor</vt:lpstr>
      <vt:lpstr>kass</vt:lpstr>
      <vt:lpstr>Sheet1</vt:lpstr>
      <vt:lpstr>Tod!Print_Area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erdene gerelee</dc:creator>
  <cp:lastModifiedBy>보영 인</cp:lastModifiedBy>
  <cp:lastPrinted>2026-02-09T08:38:18Z</cp:lastPrinted>
  <dcterms:created xsi:type="dcterms:W3CDTF">2015-06-05T18:17:20Z</dcterms:created>
  <dcterms:modified xsi:type="dcterms:W3CDTF">2026-02-09T08:47:16Z</dcterms:modified>
</cp:coreProperties>
</file>