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FF69D1E-63AD-4691-9231-C1944A203D19}" xr6:coauthVersionLast="47" xr6:coauthVersionMax="47" xr10:uidLastSave="{00000000-0000-0000-0000-000000000000}"/>
  <workbookProtection workbookAlgorithmName="SHA-512" workbookHashValue="Nqo/k9uj5fUawAPjNqwY/Slkvysu8MZ+HCE+PemR0i8X3IFY6+DA2aqJ8zYLgejRWEqfopzcPjyQgxjnNmAeVA==" workbookSaltValue="vd6G+5OriFX7AltyHLQXlg==" workbookSpinCount="100000" lockStructure="1"/>
  <bookViews>
    <workbookView xWindow="-120" yWindow="-120" windowWidth="29040" windowHeight="15720" activeTab="4" xr2:uid="{00000000-000D-0000-FFFF-FFFF00000000}"/>
  </bookViews>
  <sheets>
    <sheet name="BS" sheetId="1" r:id="rId1"/>
    <sheet name="IS" sheetId="2" r:id="rId2"/>
    <sheet name="CA" sheetId="3" r:id="rId3"/>
    <sheet name="CS" sheetId="4" r:id="rId4"/>
    <sheet name="Solvency" sheetId="5" r:id="rId5"/>
  </sheets>
  <externalReferences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27" i="2" l="1"/>
  <c r="C25" i="2"/>
  <c r="C29" i="2"/>
  <c r="C22" i="2"/>
  <c r="C32" i="2"/>
  <c r="C26" i="2"/>
  <c r="C28" i="2"/>
  <c r="C45" i="2"/>
  <c r="B29" i="2"/>
  <c r="C103" i="1"/>
  <c r="C98" i="1"/>
  <c r="B98" i="1"/>
  <c r="B63" i="1"/>
  <c r="B53" i="1"/>
  <c r="C52" i="1"/>
  <c r="B52" i="1"/>
  <c r="C51" i="1"/>
  <c r="B51" i="1"/>
  <c r="C48" i="1"/>
  <c r="B48" i="1"/>
  <c r="B47" i="1"/>
  <c r="B46" i="1"/>
  <c r="B30" i="1"/>
  <c r="B28" i="1"/>
  <c r="B23" i="1"/>
  <c r="B12" i="1"/>
  <c r="C7" i="5" l="1"/>
  <c r="C12" i="5" l="1"/>
  <c r="E12" i="3" l="1"/>
  <c r="D106" i="1" s="1"/>
  <c r="J13" i="3"/>
  <c r="B8" i="1"/>
  <c r="B29" i="1"/>
  <c r="B4" i="2"/>
  <c r="C47" i="2"/>
  <c r="B47" i="2"/>
  <c r="B50" i="2"/>
  <c r="B5" i="4"/>
  <c r="C20" i="2"/>
  <c r="B24" i="2"/>
  <c r="B20" i="2"/>
  <c r="B115" i="1"/>
  <c r="C117" i="1" s="1"/>
  <c r="C55" i="1"/>
  <c r="C54" i="1" s="1"/>
  <c r="B55" i="1"/>
  <c r="B54" i="1" s="1"/>
  <c r="C45" i="1"/>
  <c r="C44" i="1" s="1"/>
  <c r="B45" i="1"/>
  <c r="B44" i="1" s="1"/>
  <c r="C8" i="1"/>
  <c r="C11" i="1"/>
  <c r="B11" i="1"/>
  <c r="B14" i="2"/>
  <c r="B54" i="2"/>
  <c r="B61" i="2"/>
  <c r="C4" i="2"/>
  <c r="C14" i="2"/>
  <c r="C50" i="2"/>
  <c r="C54" i="2"/>
  <c r="C61" i="2"/>
  <c r="H12" i="3"/>
  <c r="D114" i="1" s="1"/>
  <c r="C110" i="1"/>
  <c r="G12" i="3"/>
  <c r="G20" i="3" s="1"/>
  <c r="B110" i="1"/>
  <c r="C107" i="1"/>
  <c r="F12" i="3"/>
  <c r="F20" i="3" s="1"/>
  <c r="B107" i="1"/>
  <c r="D12" i="3"/>
  <c r="D105" i="1" s="1"/>
  <c r="C12" i="3"/>
  <c r="D104" i="1" s="1"/>
  <c r="C41" i="4"/>
  <c r="C46" i="4"/>
  <c r="C29" i="4"/>
  <c r="C34" i="4"/>
  <c r="C15" i="4"/>
  <c r="B12" i="3"/>
  <c r="C100" i="1"/>
  <c r="B100" i="1"/>
  <c r="B41" i="4"/>
  <c r="B46" i="4"/>
  <c r="B29" i="4"/>
  <c r="B34" i="4"/>
  <c r="B15" i="4"/>
  <c r="J5" i="3"/>
  <c r="J6" i="3"/>
  <c r="J7" i="3"/>
  <c r="J8" i="3"/>
  <c r="J9" i="3"/>
  <c r="J10" i="3"/>
  <c r="J11" i="3"/>
  <c r="J14" i="3"/>
  <c r="J16" i="3"/>
  <c r="J17" i="3"/>
  <c r="J19" i="3"/>
  <c r="C72" i="2"/>
  <c r="B15" i="1"/>
  <c r="B18" i="1"/>
  <c r="B22" i="1"/>
  <c r="B37" i="1"/>
  <c r="B72" i="2"/>
  <c r="C15" i="1"/>
  <c r="C18" i="1"/>
  <c r="C22" i="1"/>
  <c r="C29" i="1"/>
  <c r="C37" i="1"/>
  <c r="B71" i="1"/>
  <c r="B75" i="1"/>
  <c r="B82" i="1"/>
  <c r="B92" i="1"/>
  <c r="B91" i="1" s="1"/>
  <c r="C71" i="1"/>
  <c r="C75" i="1"/>
  <c r="C82" i="1"/>
  <c r="C92" i="1"/>
  <c r="C91" i="1" s="1"/>
  <c r="E110" i="1" l="1"/>
  <c r="D20" i="3"/>
  <c r="E105" i="1" s="1"/>
  <c r="E117" i="1"/>
  <c r="C52" i="4"/>
  <c r="C8" i="5"/>
  <c r="E20" i="3"/>
  <c r="E106" i="1" s="1"/>
  <c r="B43" i="1"/>
  <c r="B99" i="1"/>
  <c r="D110" i="1"/>
  <c r="C43" i="1"/>
  <c r="C20" i="3"/>
  <c r="E104" i="1" s="1"/>
  <c r="B19" i="2"/>
  <c r="B67" i="2" s="1"/>
  <c r="B69" i="2" s="1"/>
  <c r="B71" i="2" s="1"/>
  <c r="D116" i="1" s="1"/>
  <c r="B52" i="4"/>
  <c r="C7" i="1"/>
  <c r="E107" i="1"/>
  <c r="C39" i="4"/>
  <c r="B39" i="4"/>
  <c r="B27" i="4"/>
  <c r="D107" i="1"/>
  <c r="D100" i="1"/>
  <c r="C70" i="1"/>
  <c r="B70" i="1"/>
  <c r="B69" i="1" s="1"/>
  <c r="B7" i="1"/>
  <c r="C55" i="4" s="1"/>
  <c r="B20" i="3"/>
  <c r="E100" i="1" s="1"/>
  <c r="I12" i="3" l="1"/>
  <c r="D115" i="1" s="1"/>
  <c r="J4" i="3"/>
  <c r="J12" i="3" s="1"/>
  <c r="D99" i="1" s="1"/>
  <c r="B68" i="1"/>
  <c r="C6" i="5"/>
  <c r="C9" i="5"/>
  <c r="C10" i="5" s="1"/>
  <c r="C6" i="1"/>
  <c r="B54" i="4"/>
  <c r="B6" i="1"/>
  <c r="B5" i="1" s="1"/>
  <c r="C69" i="1"/>
  <c r="B76" i="2"/>
  <c r="B77" i="2" s="1"/>
  <c r="D68" i="1" l="1"/>
  <c r="C15" i="5"/>
  <c r="C5" i="1"/>
  <c r="C4" i="5" l="1"/>
  <c r="C16" i="5" s="1"/>
  <c r="C24" i="2" l="1"/>
  <c r="C19" i="2"/>
  <c r="C67" i="2" s="1"/>
  <c r="C11" i="5" l="1"/>
  <c r="C13" i="5" s="1"/>
  <c r="C69" i="2"/>
  <c r="C71" i="2" s="1"/>
  <c r="C76" i="2" s="1"/>
  <c r="I15" i="3" l="1"/>
  <c r="C77" i="2"/>
  <c r="C116" i="1"/>
  <c r="J15" i="3" l="1"/>
  <c r="E116" i="1"/>
  <c r="C115" i="1"/>
  <c r="C99" i="1" s="1"/>
  <c r="C5" i="5" l="1"/>
  <c r="C14" i="5" s="1"/>
  <c r="C68" i="1"/>
  <c r="I20" i="3"/>
  <c r="E115" i="1" s="1"/>
  <c r="H20" i="3"/>
  <c r="E114" i="1" s="1"/>
  <c r="J18" i="3"/>
  <c r="J20" i="3" s="1"/>
  <c r="E99" i="1" s="1"/>
  <c r="E68" i="1" l="1"/>
  <c r="C5" i="4"/>
  <c r="C27" i="4"/>
  <c r="C54" i="4" s="1"/>
  <c r="C56" i="4" s="1"/>
  <c r="D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Munkhzorig A</author>
  </authors>
  <commentList>
    <comment ref="C7" authorId="0" shapeId="0" xr:uid="{00000000-0006-0000-0400-000001000000}">
      <text>
        <r>
          <rPr>
            <sz val="9"/>
            <color indexed="81"/>
            <rFont val="Tahoma"/>
            <family val="2"/>
          </rPr>
          <t>x гэсэн итгэлцүүрийн утга нь 1 байна</t>
        </r>
      </text>
    </comment>
    <comment ref="C10" authorId="0" shapeId="0" xr:uid="{00000000-0006-0000-0400-000002000000}">
      <text>
        <r>
          <rPr>
            <sz val="9"/>
            <color indexed="81"/>
            <rFont val="Tahoma"/>
            <family val="2"/>
          </rPr>
          <t xml:space="preserve">y гэсэн итгэлцүүрийн утга нь 1 байна
</t>
        </r>
      </text>
    </comment>
    <comment ref="C13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z гэсэн итгэлцүүрийн утга нь 1 байна
</t>
        </r>
      </text>
    </comment>
  </commentList>
</comments>
</file>

<file path=xl/sharedStrings.xml><?xml version="1.0" encoding="utf-8"?>
<sst xmlns="http://schemas.openxmlformats.org/spreadsheetml/2006/main" count="322" uniqueCount="271">
  <si>
    <t xml:space="preserve"> </t>
  </si>
  <si>
    <t>Эргэлтийн хөрөнгө</t>
  </si>
  <si>
    <t>Дансны авлага</t>
  </si>
  <si>
    <t>Найдваргүй авлагын хасагдуулга</t>
  </si>
  <si>
    <t>Бусад авлага</t>
  </si>
  <si>
    <t>Бараа материал</t>
  </si>
  <si>
    <t>Урьдчилж төлсөн зардал/тооцоо</t>
  </si>
  <si>
    <t>Бусад</t>
  </si>
  <si>
    <t>Эргэлтийн бус хөрөнгө</t>
  </si>
  <si>
    <t>Бусад үндсэн хөрөнгө</t>
  </si>
  <si>
    <t>Дуусаагүй барилга</t>
  </si>
  <si>
    <t>Өр төлбөр</t>
  </si>
  <si>
    <t>Богино хугацаат өр төлбөр</t>
  </si>
  <si>
    <t>Дансны өглөг</t>
  </si>
  <si>
    <t>Цалингийн өглөг</t>
  </si>
  <si>
    <t>Ногдол ашгийн өглөг</t>
  </si>
  <si>
    <t>Урт хугацаат өр төлбөр</t>
  </si>
  <si>
    <t>Халаасны хувьцаа</t>
  </si>
  <si>
    <t>Нэмж төлөгдсөн капитал</t>
  </si>
  <si>
    <t>Хуримтлагдсан ашиг, алдагдал</t>
  </si>
  <si>
    <t>Тайлангийн үеийн</t>
  </si>
  <si>
    <t>Өмнөх үеийн</t>
  </si>
  <si>
    <t>Байгууллагын нэр:</t>
  </si>
  <si>
    <t>Тайлант үе:</t>
  </si>
  <si>
    <t>Үйл ажиллагааны орлого</t>
  </si>
  <si>
    <t>Ашиглалтын зардал</t>
  </si>
  <si>
    <t>Түрээсийн зардал</t>
  </si>
  <si>
    <t>Тээврийн зардал</t>
  </si>
  <si>
    <t>Зар сурталчилгааны зардал</t>
  </si>
  <si>
    <t>Шуудан холбооны зардал</t>
  </si>
  <si>
    <t>Найдваргүй авлагын зардал</t>
  </si>
  <si>
    <t>Бусад зардал</t>
  </si>
  <si>
    <t>Татвар төлөхийн өмнөх ашиг (алдагдал)</t>
  </si>
  <si>
    <t>Орлогын татварын зардал</t>
  </si>
  <si>
    <t>Татварын дараах ашиг (алдагдал)</t>
  </si>
  <si>
    <t>Тайлант үеийн цэвэр ашиг (алдагдал)</t>
  </si>
  <si>
    <t>Өмчийн өөрчлөлтийн тайлан</t>
  </si>
  <si>
    <t>Гадаад валютын хөрвүүлэлтийн нөөц</t>
  </si>
  <si>
    <t>Хуримтлагдсан ашиг</t>
  </si>
  <si>
    <t>Нийт дүн</t>
  </si>
  <si>
    <t>..... оны ..... -р сарын ...... -ний үлдэгдэл</t>
  </si>
  <si>
    <t>Залруулсан үлдэгдэл</t>
  </si>
  <si>
    <t>Мөнгөн гүйлгээний тайлан</t>
  </si>
  <si>
    <t>Даатгалын нөхвөрөөс хүлээн авсан мөнгө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</si>
  <si>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</si>
  <si>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</si>
  <si>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</si>
  <si>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/төгрөг/</t>
  </si>
  <si>
    <t>Үзүүлэлт</t>
  </si>
  <si>
    <t>ХӨРӨНГӨ</t>
  </si>
  <si>
    <t>Мөнгө, түүнтэй адилтгах хөрөнгө</t>
  </si>
  <si>
    <t>Санхүүгийн хөрөнгө</t>
  </si>
  <si>
    <t>Бусад эргэлтийн хөрөнгө</t>
  </si>
  <si>
    <t>Борлуулах зорилгоор эзэмшиж буй эргэлтийн бус хөрөнгө (борлуулах бүлэг хөрөнгө)</t>
  </si>
  <si>
    <t>Хойшлогдсон татварын хөрөнгө</t>
  </si>
  <si>
    <t>Хөрөнгө оруулалтын зориулалттай үл хөдлөх хөрөнгө</t>
  </si>
  <si>
    <t>ӨР ТӨЛБӨР БА ЭЗДИЙН ӨМЧ</t>
  </si>
  <si>
    <t>Татварын өр</t>
  </si>
  <si>
    <t>Богино хугацаат зээл</t>
  </si>
  <si>
    <t>Урьдчилж орсон орлого</t>
  </si>
  <si>
    <t>Бусад богино хугацаат өр төлбөр</t>
  </si>
  <si>
    <t>Эздийн өмч</t>
  </si>
  <si>
    <t>Хөрөнгийн дахин үнэлгээний нэмэгдэл</t>
  </si>
  <si>
    <t>Эздийн өмчийн бусад хэсэг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</si>
  <si>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</si>
  <si>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</si>
  <si>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</si>
  <si>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</si>
  <si>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</si>
  <si>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Санхүүгийн зардал</t>
  </si>
  <si>
    <t>Үндсэн хөрөнгө данснаас хассаны олз (гарз)</t>
  </si>
  <si>
    <t>Биет бус хөрөнгө данснаас хассаны олз (гарз)</t>
  </si>
  <si>
    <t>Бусад дэлгэрэнгүй орлого</t>
  </si>
  <si>
    <t>Хөрөнгийн дахин үнэлгээний нэмэгдлийн зөрүү</t>
  </si>
  <si>
    <t>Орлогын нийт дүн</t>
  </si>
  <si>
    <t>Нэгж хувьцаанд ногдох суурь ашиг (алдагдал)</t>
  </si>
  <si>
    <t>Өмч</t>
  </si>
  <si>
    <t>Нягтлан бодох бүртгэлийн бодлогын өөрчлөлтийн нөлөө, алдааны залруулга</t>
  </si>
  <si>
    <t>Өмчид гарсан өөрчлөлт</t>
  </si>
  <si>
    <t>Дахин үнэлгээний нэмэгдлийн хэрэгжсэн дүн</t>
  </si>
  <si>
    <t xml:space="preserve"> Үзүүлэлт</t>
  </si>
  <si>
    <t>Касс дахь мөнгө</t>
  </si>
  <si>
    <t>Банкин дахь мөнгө</t>
  </si>
  <si>
    <t>Мөнгөтэй адилтгах хөрөнгө</t>
  </si>
  <si>
    <t xml:space="preserve">Татвар, НДШ-ийн авлага </t>
  </si>
  <si>
    <t>ААНОАТ-ын авлага</t>
  </si>
  <si>
    <t>НӨАТ-ын авлага</t>
  </si>
  <si>
    <t>Холбоотой талаас авах авлага</t>
  </si>
  <si>
    <t>Ажиллагчдаас авах авлага</t>
  </si>
  <si>
    <t>Ногдол ашгийн авлага</t>
  </si>
  <si>
    <t>Хүүний авлага</t>
  </si>
  <si>
    <t>Богино хугацаат авлагын бичиг</t>
  </si>
  <si>
    <t>Бусад талуудаас авах авлага</t>
  </si>
  <si>
    <t>Арилжааны үнэт цаас</t>
  </si>
  <si>
    <t>Зээл ба авлага гэж ангилсан үнэт цаас</t>
  </si>
  <si>
    <t>Хараат болон охин компанид оруулсан хөрөнгө оруулалт</t>
  </si>
  <si>
    <t>Дериватив</t>
  </si>
  <si>
    <t>Урьдчилж төлсөн зардал</t>
  </si>
  <si>
    <t>Урьдчилж төлсөн түрээс, даатгал</t>
  </si>
  <si>
    <t>Бэлтгэн нийлүүлэгчдэд төлсөн урьдчилгаа төлбөр</t>
  </si>
  <si>
    <t>Газрын сайжруулалт</t>
  </si>
  <si>
    <t>Барилга, байгууламж</t>
  </si>
  <si>
    <t>Машин, тоног төхөөрөмж</t>
  </si>
  <si>
    <t>Тээврийн хэрэгсэл</t>
  </si>
  <si>
    <t>Тавилга эд хогшил</t>
  </si>
  <si>
    <t>Комьпютер, бусад хэрэгсэл</t>
  </si>
  <si>
    <t xml:space="preserve">  </t>
  </si>
  <si>
    <t>Зохиогчийн эрх</t>
  </si>
  <si>
    <t>Патент</t>
  </si>
  <si>
    <t>Барааны тэмдэг</t>
  </si>
  <si>
    <t>Тусгай зөвшөөрөл</t>
  </si>
  <si>
    <t>Газар эзэмших эрх</t>
  </si>
  <si>
    <t>Бусад биет бус хөрөнгө</t>
  </si>
  <si>
    <t>Урт хугацаат хөрөнгө оруулалт</t>
  </si>
  <si>
    <t>Төлөгдөх хугацаандаа байгаа</t>
  </si>
  <si>
    <t>Хугацаа хэтэрсэн</t>
  </si>
  <si>
    <t>ААНОАТ өр</t>
  </si>
  <si>
    <t>НӨАТ-ын өр</t>
  </si>
  <si>
    <t>ХХОАТ-ын өр</t>
  </si>
  <si>
    <t>ОАТ-ын өр</t>
  </si>
  <si>
    <t>Бусад татварын өр</t>
  </si>
  <si>
    <t>НДШ-ийн өглөг</t>
  </si>
  <si>
    <t>Хүүний өглөг</t>
  </si>
  <si>
    <t>Нөөц (өр төлбөр)</t>
  </si>
  <si>
    <t>Борлуулах зорилгоор эзэмшиж буй эргэлтийн бус хөрөнгө (борлуулах бүлэг хөрөнгө)-нд хамаарах өр төлбөр</t>
  </si>
  <si>
    <t>Гадаадын байгууллагаас шууд авсан зээл</t>
  </si>
  <si>
    <t>Гадаадын байгууллагаас дамжуулан авсан зээл</t>
  </si>
  <si>
    <t>Дотоодын эх үүсвэрээс авсан зээл</t>
  </si>
  <si>
    <t>Хойшлогдсон татварын өр</t>
  </si>
  <si>
    <t>Бусад урт хугацаат өр төлбөр (гадаад, дотоодын зах зээлд гаргасан бонд, өрийн бичиг)</t>
  </si>
  <si>
    <t xml:space="preserve">Төрийн </t>
  </si>
  <si>
    <t>Хувийн</t>
  </si>
  <si>
    <t>Хувьцаат</t>
  </si>
  <si>
    <t>Үндсэн хөрөнгийн дахин үнэлгээний нэмэгдэл</t>
  </si>
  <si>
    <t>Биет бус хөрөнгийн дахин үнэлгээний нэмэгдэл</t>
  </si>
  <si>
    <t>Гадаад үйл ажиллагааны хөрвүүлэлтээс үүссэн зөрүү</t>
  </si>
  <si>
    <t>Бүртгэлийн валютыг толилуулгын валют руу хөрвүүлснээс үүссэн зөрүү</t>
  </si>
  <si>
    <t xml:space="preserve">Урт хугацаат зээл 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</si>
  <si>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</si>
  <si>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</si>
  <si>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</si>
  <si>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Өмнөх оны дүн</t>
  </si>
  <si>
    <t>Тайлант оны дүн</t>
  </si>
  <si>
    <t>Хувьцааны ногдол ашиг</t>
  </si>
  <si>
    <t>Хараат болон хамтарсан компаниас олсон ашиг</t>
  </si>
  <si>
    <t>Борлуулалт маркетингийн болон ерөнхий ба удирдлагын зардал</t>
  </si>
  <si>
    <t>Ажиллагчдын цалингийн зардал</t>
  </si>
  <si>
    <t>Албан татвар, төлбөр, хураамжийн зардал</t>
  </si>
  <si>
    <t>Томилолтын зардал</t>
  </si>
  <si>
    <t>Бичиг хэргийн зардал</t>
  </si>
  <si>
    <t>Мэргэжлийн үйлчилгээний зардал</t>
  </si>
  <si>
    <t>Сургалтын зардал</t>
  </si>
  <si>
    <t>Сонин сэтгүүл захиалгын зардал</t>
  </si>
  <si>
    <t>Даатгалын зардал</t>
  </si>
  <si>
    <t>Засварын зардал</t>
  </si>
  <si>
    <t>Элэгдэл, хорогдлын зардал</t>
  </si>
  <si>
    <t>Харуул хамгааллын зардал</t>
  </si>
  <si>
    <t>Цэвэрлэгээ үйлчилгээний зардал</t>
  </si>
  <si>
    <t>Шатахууны зардал</t>
  </si>
  <si>
    <t>Хүлээн авалтын зардал</t>
  </si>
  <si>
    <t>Алданги, торгуулийн зардал</t>
  </si>
  <si>
    <t>Хандивын зардал</t>
  </si>
  <si>
    <t>Мөнгөн хөрөнгийн үлдэгдэлд хийсэн ханшийн тэгшитгэлийн ханшийн зөрүү</t>
  </si>
  <si>
    <t>Эргэлтийн авлага, өр төлбөртэй холбоотой үүссэн ханшийн зөрүү</t>
  </si>
  <si>
    <t>Эргэлтийн бус авлага, өр төлбөртэй холбоотой үүссэн ханшийн зөрүү</t>
  </si>
  <si>
    <t>Валютын арилжаанаас үүссэн олз/гарз</t>
  </si>
  <si>
    <t>Бусад ашиг (алдагдал)</t>
  </si>
  <si>
    <t>Хөрөнгийн үнэ цэнийн бууралтын гарз</t>
  </si>
  <si>
    <t>ХОЗҮХХ-ийн бодит үнэ цэнийн өөрчлөлтийн олз (гарз)</t>
  </si>
  <si>
    <t>ХОЗҮХХ данснаас хассаны олз (гарз)</t>
  </si>
  <si>
    <t>Хөрөнгийн дахин үнэлгээний олз (гарз)</t>
  </si>
  <si>
    <t>Хөрөнгийн үнэ цэнийн бууралтын гарз (гарзын буцаалт)</t>
  </si>
  <si>
    <t>Зогсоосон үйл ажиллагааны татварын дараах ашиг (алдагдал)</t>
  </si>
  <si>
    <t>Гадаад валютын хөрвүүлэлтийн зөрүү</t>
  </si>
  <si>
    <t>Бусад олз (гарз)</t>
  </si>
  <si>
    <t>Нийт гаргасан хувьцааны тоо</t>
  </si>
  <si>
    <t>Зарласан ногдол ашиг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</si>
  <si>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</si>
  <si>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</si>
  <si>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</si>
  <si>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</si>
  <si>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</si>
  <si>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</si>
  <si>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</si>
  <si>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</si>
  <si>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</si>
  <si>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</si>
  <si>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</si>
  <si>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</si>
  <si>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</si>
  <si>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</si>
  <si>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</si>
  <si>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</si>
  <si>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Түлш шатахуун, тээврийн хөлс, сэлбэг хэрэгсэлд төлсөн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</si>
  <si>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</si>
  <si>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</si>
  <si>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</si>
  <si>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Зохицуулалтын хөлс, шимтгэл, хураамжинд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</si>
  <si>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</si>
  <si>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</si>
  <si>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</si>
  <si>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</si>
  <si>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</si>
  <si>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</si>
  <si>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</si>
  <si>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</si>
  <si>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Бусад урт хугацаат хөрөнгө олж эзэмшихэд төлсөн   </t>
  </si>
  <si>
    <t>Бусдад олгосон зээл болон урьдчилгаа</t>
  </si>
  <si>
    <t>Хөрөнгө оруулалтын үйл ажиллагааны цэвэр мөнгөн гүйлгээний дүн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</si>
  <si>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</si>
  <si>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</si>
  <si>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Зээл, өрийн үнэт цаасны төлбөрт төлсөн мөнгө</t>
  </si>
  <si>
    <t xml:space="preserve">Санхүүгийн түрээсийн өглөгт төлсөн 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</si>
  <si>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</si>
  <si>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</si>
  <si>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</si>
  <si>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</si>
  <si>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</si>
  <si>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</si>
  <si>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</si>
  <si>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Борлуулахад бэлэн үнэт цаас</t>
  </si>
  <si>
    <t>Үндсэн хөрөнгө /цэврээр/</t>
  </si>
  <si>
    <t>Биет бус хөрөнгө /цэврээр/</t>
  </si>
  <si>
    <t xml:space="preserve">    Валютаар</t>
  </si>
  <si>
    <r>
      <t xml:space="preserve">   </t>
    </r>
    <r>
      <rPr>
        <i/>
        <sz val="10"/>
        <rFont val="Times New Roman"/>
        <family val="1"/>
      </rPr>
      <t xml:space="preserve"> Төгрөгөөр</t>
    </r>
  </si>
  <si>
    <t>Дансны авлага /цэврээр/</t>
  </si>
  <si>
    <t>Хуримтлагдсан элэгдэл (-)</t>
  </si>
  <si>
    <t>Брокерын үйл ажиллагааны орлого</t>
  </si>
  <si>
    <t>Дилерийн үйл ажиллагааны орлого</t>
  </si>
  <si>
    <t>Бусад үйл ажиллагааны орлого</t>
  </si>
  <si>
    <t>Сангууд</t>
  </si>
  <si>
    <t xml:space="preserve">    Гишүүнчлэлийн хураамж</t>
  </si>
  <si>
    <t xml:space="preserve">    Бусад</t>
  </si>
  <si>
    <t xml:space="preserve">    Зохицуулалтын үйлчилгээний хөлс</t>
  </si>
  <si>
    <t xml:space="preserve">    Удирдлагын цалингийн зардал</t>
  </si>
  <si>
    <t xml:space="preserve">    Бусад ажиллагчдын зардал</t>
  </si>
  <si>
    <t xml:space="preserve">    Арилжааны шимтгэл /МХБ/</t>
  </si>
  <si>
    <t xml:space="preserve">    Арилжааны шимтгэл /ҮЦТТТХТ/</t>
  </si>
  <si>
    <t>Аж ахуйн нэгжээс төлсөн НДШ, ЭМД-ын зардал</t>
  </si>
  <si>
    <t xml:space="preserve">    Зээлийн хүүгийн зардал</t>
  </si>
  <si>
    <t xml:space="preserve">   Бусад санхүүгийн зардал</t>
  </si>
  <si>
    <t>НДШ-ийн авлага</t>
  </si>
  <si>
    <t>Хөрөнгө оруулалтын зөвлөхийн үйл ажиллагааны орлого</t>
  </si>
  <si>
    <t>Хугацааны эцэс хүртэл эзэмших үнэт цаас</t>
  </si>
  <si>
    <t xml:space="preserve">  Үндсэн хөрөнгө </t>
  </si>
  <si>
    <t xml:space="preserve">  Биет бус хөрөнгө</t>
  </si>
  <si>
    <t>Комьпютерийн програм хангамж</t>
  </si>
  <si>
    <t>Гадаад валютын ханшийн зөрүүний олз (гарз)</t>
  </si>
  <si>
    <t>Санхүүгийн байдлын тайлан</t>
  </si>
  <si>
    <t>Орлогын дэлгэрэнгүй тайлан</t>
  </si>
  <si>
    <t>Гүйцэтгэх захирал</t>
  </si>
  <si>
    <t>Ерөнхий ня-бо</t>
  </si>
  <si>
    <t>Тайланг үнэн зөв гаргасан:</t>
  </si>
  <si>
    <t>“.............................” ХХК-ИЙН 20.. ОНЫ ... ХАГАС ЖИЛ/ЖИЛИЙН ЭЦСИЙН ТӨЛБӨРИЙН ЧАДВАРЫН ШАЛГУУР ҮЗҮҮЛЭЛТ</t>
  </si>
  <si>
    <t>Тооцсон дүн (төгрөг)</t>
  </si>
  <si>
    <t>Нийт хөрөнгө</t>
  </si>
  <si>
    <t>Өөрийн хөрөнгө</t>
  </si>
  <si>
    <t>Урт хугацаат хөрөнгө оруулалт * x</t>
  </si>
  <si>
    <t>(Урт хугацаат өр төлбөр + Богино хугацаат өр төлбөр) * y</t>
  </si>
  <si>
    <t>Үйл ажиллагааны зардал</t>
  </si>
  <si>
    <t>Элэгдлийн зардал</t>
  </si>
  <si>
    <t>(Үйл ажиллагааны зардал - Элэгдлийн зардал) * z</t>
  </si>
  <si>
    <t>Хөрөнгийн зохистой харьцаа /(2-3)/(4+7+10)x100%≥100%/</t>
  </si>
  <si>
    <t>Эргэлтийн хөрөнгө /андеррайтерийн компанийн хувьд/</t>
  </si>
  <si>
    <t>Эргэлтийн хөрөнгийн хөрөнгийн хувийн жин /12/1х100%/≥70%/</t>
  </si>
  <si>
    <t>12 -р сарын 31</t>
  </si>
  <si>
    <t>" БиДиСек ҮЦК " ХК</t>
  </si>
  <si>
    <t>/Б.Лхагвадорж/</t>
  </si>
  <si>
    <t>[2026/06/30]</t>
  </si>
  <si>
    <t>06 -р сарын 30</t>
  </si>
  <si>
    <t>Э.Анхилуун-Үйлс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</si>
</sst>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1" fillId="0" borderId="1" xfId="0" applyFont="1" applyBorder="1"/>
    <xf numFmtId="4" fontId="2" fillId="2" borderId="1" xfId="0" applyNumberFormat="1" applyFont="1" applyFill="1" applyBorder="1"/>
    <xf numFmtId="4" fontId="2" fillId="3" borderId="1" xfId="0" applyNumberFormat="1" applyFont="1" applyFill="1" applyBorder="1"/>
    <xf numFmtId="0" fontId="5" fillId="0" borderId="0" xfId="0" applyFont="1" applyProtection="1">
      <protection locked="0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indent="10"/>
    </xf>
    <xf numFmtId="39" fontId="2" fillId="2" borderId="2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2" fillId="0" borderId="2" xfId="0" applyFont="1" applyBorder="1" applyAlignment="1">
      <alignment horizontal="left" indent="3"/>
    </xf>
    <xf numFmtId="0" fontId="1" fillId="0" borderId="2" xfId="0" applyFont="1" applyBorder="1" applyAlignment="1">
      <alignment horizontal="left" indent="5"/>
    </xf>
    <xf numFmtId="0" fontId="1" fillId="0" borderId="2" xfId="0" applyFont="1" applyBorder="1" applyAlignment="1">
      <alignment horizontal="left" indent="3"/>
    </xf>
    <xf numFmtId="0" fontId="2" fillId="0" borderId="2" xfId="0" applyFont="1" applyBorder="1" applyAlignment="1">
      <alignment horizontal="left" indent="4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5" fillId="0" borderId="2" xfId="0" applyFont="1" applyBorder="1"/>
    <xf numFmtId="4" fontId="2" fillId="2" borderId="2" xfId="0" applyNumberFormat="1" applyFont="1" applyFill="1" applyBorder="1"/>
    <xf numFmtId="0" fontId="4" fillId="0" borderId="2" xfId="0" applyFont="1" applyBorder="1"/>
    <xf numFmtId="0" fontId="5" fillId="4" borderId="2" xfId="0" applyFont="1" applyFill="1" applyBorder="1"/>
    <xf numFmtId="4" fontId="4" fillId="0" borderId="0" xfId="0" applyNumberFormat="1" applyFont="1"/>
    <xf numFmtId="0" fontId="2" fillId="5" borderId="2" xfId="0" applyFont="1" applyFill="1" applyBorder="1" applyAlignment="1">
      <alignment horizontal="left" indent="3"/>
    </xf>
    <xf numFmtId="0" fontId="3" fillId="0" borderId="2" xfId="0" applyFont="1" applyBorder="1" applyAlignment="1">
      <alignment horizontal="left" indent="3"/>
    </xf>
    <xf numFmtId="0" fontId="2" fillId="6" borderId="2" xfId="0" applyFont="1" applyFill="1" applyBorder="1" applyAlignment="1">
      <alignment horizontal="left" wrapText="1" indent="3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indent="2"/>
    </xf>
    <xf numFmtId="0" fontId="1" fillId="0" borderId="0" xfId="0" applyFont="1" applyAlignment="1">
      <alignment horizontal="left" vertical="center" wrapText="1"/>
    </xf>
    <xf numFmtId="0" fontId="1" fillId="5" borderId="2" xfId="0" applyFont="1" applyFill="1" applyBorder="1" applyAlignment="1">
      <alignment horizontal="left" indent="2"/>
    </xf>
    <xf numFmtId="1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" fontId="0" fillId="0" borderId="6" xfId="0" applyNumberFormat="1" applyBorder="1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esktop\balance%20vzvvlelt.xlsx" TargetMode="External"/><Relationship Id="rId1" Type="http://schemas.openxmlformats.org/officeDocument/2006/relationships/externalLinkPath" Target="balance%20vzvvlel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ExpenseReport2.xls" TargetMode="External"/><Relationship Id="rId2" Type="http://schemas.openxmlformats.org/officeDocument/2006/relationships/externalLinkPath" Target="file:///C:\Users\Dell\Downloads\ExpenseReport2.xls" TargetMode="External"/><Relationship Id="rId1" Type="http://schemas.openxmlformats.org/officeDocument/2006/relationships/externalLinkPath" Target="/Users/Dell/Downloads/ExpenseRepor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"/>
    </sheetNames>
    <sheetDataSet>
      <sheetData sheetId="0" refreshError="1">
        <row r="17">
          <cell r="N17">
            <v>58287840.710000001</v>
          </cell>
        </row>
        <row r="107">
          <cell r="N107">
            <v>1425224.71</v>
          </cell>
        </row>
        <row r="121">
          <cell r="N121">
            <v>27900000</v>
          </cell>
        </row>
        <row r="122">
          <cell r="N122">
            <v>5726396061.6800003</v>
          </cell>
        </row>
        <row r="123">
          <cell r="N123">
            <v>549627840</v>
          </cell>
        </row>
        <row r="126">
          <cell r="N126">
            <v>47379679.340000004</v>
          </cell>
        </row>
        <row r="127">
          <cell r="N127">
            <v>137961882.66</v>
          </cell>
        </row>
        <row r="189">
          <cell r="N189">
            <v>2535395.7799999998</v>
          </cell>
        </row>
        <row r="192">
          <cell r="N192">
            <v>9326763118.3199997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"/>
    </sheetNames>
    <sheetDataSet>
      <sheetData sheetId="0">
        <row r="11">
          <cell r="J11">
            <v>46632518.770000003</v>
          </cell>
        </row>
        <row r="12">
          <cell r="J12">
            <v>8242186.29</v>
          </cell>
        </row>
        <row r="13">
          <cell r="J13">
            <v>8560730.1300000008</v>
          </cell>
        </row>
        <row r="21">
          <cell r="J21">
            <v>12881380.23</v>
          </cell>
        </row>
        <row r="31">
          <cell r="J31">
            <v>6032681.54</v>
          </cell>
        </row>
        <row r="34">
          <cell r="J34">
            <v>17139900</v>
          </cell>
        </row>
        <row r="43">
          <cell r="O43">
            <v>203330346.31999999</v>
          </cell>
        </row>
        <row r="50">
          <cell r="J50">
            <v>256045.38</v>
          </cell>
        </row>
        <row r="57">
          <cell r="J57">
            <v>1035850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"/>
  <sheetViews>
    <sheetView zoomScale="106" zoomScaleNormal="106" workbookViewId="0">
      <selection sqref="A1:XFD1048576"/>
    </sheetView>
  </sheetViews>
  <sheetFormatPr defaultColWidth="11.42578125" defaultRowHeight="12.75" x14ac:dyDescent="0.2"/>
  <cols>
    <col min="1" max="1" width="46.42578125" style="3" customWidth="1"/>
    <col min="2" max="2" width="18.42578125" style="3" customWidth="1"/>
    <col min="3" max="3" width="19.140625" style="3" customWidth="1"/>
    <col min="4" max="5" width="25.7109375" style="11" customWidth="1"/>
    <col min="6" max="16384" width="11.42578125" style="3"/>
  </cols>
  <sheetData>
    <row r="1" spans="1:5" x14ac:dyDescent="0.2">
      <c r="A1" s="4" t="s">
        <v>22</v>
      </c>
      <c r="B1" s="10" t="s">
        <v>266</v>
      </c>
    </row>
    <row r="2" spans="1:5" x14ac:dyDescent="0.2">
      <c r="A2" s="4" t="s">
        <v>23</v>
      </c>
      <c r="B2" s="10" t="s">
        <v>268</v>
      </c>
    </row>
    <row r="3" spans="1:5" x14ac:dyDescent="0.2">
      <c r="A3" s="39" t="s">
        <v>248</v>
      </c>
      <c r="B3" s="1"/>
      <c r="C3" s="22" t="s">
        <v>47</v>
      </c>
    </row>
    <row r="4" spans="1:5" x14ac:dyDescent="0.2">
      <c r="A4" s="12" t="s">
        <v>80</v>
      </c>
      <c r="B4" s="21" t="s">
        <v>265</v>
      </c>
      <c r="C4" s="21" t="s">
        <v>269</v>
      </c>
      <c r="E4" s="41"/>
    </row>
    <row r="5" spans="1:5" x14ac:dyDescent="0.2">
      <c r="A5" s="13" t="s">
        <v>49</v>
      </c>
      <c r="B5" s="14">
        <f>+B6+B43</f>
        <v>54840990294.070015</v>
      </c>
      <c r="C5" s="14">
        <f>+C6+C43</f>
        <v>58336890777.050003</v>
      </c>
    </row>
    <row r="6" spans="1:5" x14ac:dyDescent="0.2">
      <c r="A6" s="15" t="s">
        <v>1</v>
      </c>
      <c r="B6" s="14">
        <f>B7+B15+B18+B22+B29+B36+B37+B41+B42</f>
        <v>50537696426.340012</v>
      </c>
      <c r="C6" s="14">
        <f>C7+C15+C18+C22+C29+C36+C37+C41+C42</f>
        <v>49153570459.43</v>
      </c>
      <c r="D6" s="41"/>
    </row>
    <row r="7" spans="1:5" x14ac:dyDescent="0.2">
      <c r="A7" s="16" t="s">
        <v>50</v>
      </c>
      <c r="B7" s="14">
        <f>B8+B11+B14</f>
        <v>7072288539.0200005</v>
      </c>
      <c r="C7" s="14">
        <f>C8+C11+C14</f>
        <v>3517972278.5899997</v>
      </c>
      <c r="D7" s="41" t="str">
        <f>IF((ROUND(C7,2)-ROUND(CS!C56,2))=0," ","C7 дүн нь Мөнгөн гүйлгээний тайлангийн C56 дүнтэй зөрж байна")</f>
        <v xml:space="preserve"> </v>
      </c>
    </row>
    <row r="8" spans="1:5" x14ac:dyDescent="0.2">
      <c r="A8" s="17" t="s">
        <v>81</v>
      </c>
      <c r="B8" s="14">
        <f>SUM(B9:B10)</f>
        <v>2587934323.6900001</v>
      </c>
      <c r="C8" s="14">
        <f>SUM(C9:C10)</f>
        <v>1293410.22</v>
      </c>
      <c r="D8" s="41"/>
    </row>
    <row r="9" spans="1:5" ht="15" x14ac:dyDescent="0.25">
      <c r="A9" s="17" t="s">
        <v>224</v>
      </c>
      <c r="B9" s="52">
        <v>2587934323.6900001</v>
      </c>
      <c r="C9" s="52">
        <v>1293410.22</v>
      </c>
    </row>
    <row r="10" spans="1:5" ht="15" x14ac:dyDescent="0.25">
      <c r="A10" s="34" t="s">
        <v>223</v>
      </c>
      <c r="B10" s="52">
        <v>0</v>
      </c>
      <c r="C10" s="52">
        <v>0</v>
      </c>
    </row>
    <row r="11" spans="1:5" x14ac:dyDescent="0.2">
      <c r="A11" s="17" t="s">
        <v>82</v>
      </c>
      <c r="B11" s="14">
        <f>SUM(B12:B13)</f>
        <v>4484354215.3299999</v>
      </c>
      <c r="C11" s="14">
        <f>SUM(C12:C13)</f>
        <v>3516678868.3699999</v>
      </c>
    </row>
    <row r="12" spans="1:5" ht="15" x14ac:dyDescent="0.25">
      <c r="A12" s="17" t="s">
        <v>224</v>
      </c>
      <c r="B12" s="52">
        <f>7072288539.02-B9</f>
        <v>4484354215.3299999</v>
      </c>
      <c r="C12" s="52">
        <v>3516678868.3699999</v>
      </c>
    </row>
    <row r="13" spans="1:5" ht="15" x14ac:dyDescent="0.25">
      <c r="A13" s="34" t="s">
        <v>223</v>
      </c>
      <c r="B13" s="52">
        <v>0</v>
      </c>
      <c r="C13" s="52">
        <v>0</v>
      </c>
    </row>
    <row r="14" spans="1:5" ht="15" x14ac:dyDescent="0.25">
      <c r="A14" s="17" t="s">
        <v>83</v>
      </c>
      <c r="B14" s="52">
        <v>0</v>
      </c>
      <c r="C14" s="52">
        <v>0</v>
      </c>
    </row>
    <row r="15" spans="1:5" x14ac:dyDescent="0.2">
      <c r="A15" s="16" t="s">
        <v>225</v>
      </c>
      <c r="B15" s="14">
        <f>SUM(B16:B17)</f>
        <v>3123767838.1300001</v>
      </c>
      <c r="C15" s="14">
        <f>SUM(C16:C17)</f>
        <v>9467224993.1399994</v>
      </c>
    </row>
    <row r="16" spans="1:5" ht="15" x14ac:dyDescent="0.25">
      <c r="A16" s="17" t="s">
        <v>2</v>
      </c>
      <c r="B16" s="52">
        <v>3123767838.1300001</v>
      </c>
      <c r="C16" s="52">
        <v>9467224993.1399994</v>
      </c>
    </row>
    <row r="17" spans="1:3" ht="15" x14ac:dyDescent="0.25">
      <c r="A17" s="17" t="s">
        <v>3</v>
      </c>
      <c r="B17" s="52">
        <v>0</v>
      </c>
      <c r="C17" s="52">
        <v>0</v>
      </c>
    </row>
    <row r="18" spans="1:3" x14ac:dyDescent="0.2">
      <c r="A18" s="16" t="s">
        <v>84</v>
      </c>
      <c r="B18" s="14">
        <f>SUM(B19:B21)</f>
        <v>0</v>
      </c>
      <c r="C18" s="14">
        <f>SUM(C19:C21)</f>
        <v>2855212.6</v>
      </c>
    </row>
    <row r="19" spans="1:3" ht="15" x14ac:dyDescent="0.25">
      <c r="A19" s="17" t="s">
        <v>85</v>
      </c>
      <c r="B19" s="52">
        <v>0</v>
      </c>
      <c r="C19" s="52">
        <v>0</v>
      </c>
    </row>
    <row r="20" spans="1:3" ht="15" x14ac:dyDescent="0.25">
      <c r="A20" s="17" t="s">
        <v>86</v>
      </c>
      <c r="B20" s="52">
        <v>0</v>
      </c>
      <c r="C20" s="52">
        <v>0</v>
      </c>
    </row>
    <row r="21" spans="1:3" ht="15" x14ac:dyDescent="0.25">
      <c r="A21" s="17" t="s">
        <v>241</v>
      </c>
      <c r="B21" s="52">
        <v>0</v>
      </c>
      <c r="C21" s="52">
        <v>2855212.6</v>
      </c>
    </row>
    <row r="22" spans="1:3" x14ac:dyDescent="0.2">
      <c r="A22" s="16" t="s">
        <v>4</v>
      </c>
      <c r="B22" s="14">
        <f>SUM(B23:B28)</f>
        <v>609893609.26999998</v>
      </c>
      <c r="C22" s="14">
        <f>SUM(C23:C28)</f>
        <v>841922811.49000001</v>
      </c>
    </row>
    <row r="23" spans="1:3" ht="15" x14ac:dyDescent="0.25">
      <c r="A23" s="17" t="s">
        <v>87</v>
      </c>
      <c r="B23" s="52">
        <f>436199254.46-175806673.8</f>
        <v>260392580.65999997</v>
      </c>
      <c r="C23" s="52">
        <v>841922811.49000001</v>
      </c>
    </row>
    <row r="24" spans="1:3" ht="15" x14ac:dyDescent="0.25">
      <c r="A24" s="17" t="s">
        <v>88</v>
      </c>
      <c r="B24" s="52">
        <v>348075803.89999998</v>
      </c>
      <c r="C24" s="52">
        <v>0</v>
      </c>
    </row>
    <row r="25" spans="1:3" ht="15" x14ac:dyDescent="0.25">
      <c r="A25" s="17" t="s">
        <v>89</v>
      </c>
      <c r="B25" s="52">
        <v>0</v>
      </c>
      <c r="C25" s="52">
        <v>0</v>
      </c>
    </row>
    <row r="26" spans="1:3" ht="15" x14ac:dyDescent="0.25">
      <c r="A26" s="17" t="s">
        <v>90</v>
      </c>
      <c r="B26" s="52">
        <v>0</v>
      </c>
      <c r="C26" s="52">
        <v>0</v>
      </c>
    </row>
    <row r="27" spans="1:3" ht="15" x14ac:dyDescent="0.25">
      <c r="A27" s="17" t="s">
        <v>91</v>
      </c>
      <c r="B27" s="52">
        <v>0</v>
      </c>
      <c r="C27" s="52">
        <v>0</v>
      </c>
    </row>
    <row r="28" spans="1:3" ht="15" x14ac:dyDescent="0.25">
      <c r="A28" s="17" t="s">
        <v>92</v>
      </c>
      <c r="B28" s="52">
        <f>[1]Sheet!$N$107</f>
        <v>1425224.71</v>
      </c>
      <c r="C28" s="52">
        <v>0</v>
      </c>
    </row>
    <row r="29" spans="1:3" x14ac:dyDescent="0.2">
      <c r="A29" s="16" t="s">
        <v>51</v>
      </c>
      <c r="B29" s="14">
        <f>SUM(B30:B35)</f>
        <v>39731356572.120003</v>
      </c>
      <c r="C29" s="14">
        <f>SUM(C30:C35)</f>
        <v>35323069789.270004</v>
      </c>
    </row>
    <row r="30" spans="1:3" ht="15" x14ac:dyDescent="0.25">
      <c r="A30" s="17" t="s">
        <v>93</v>
      </c>
      <c r="B30" s="52">
        <f>31501175813.41+7626180758.71</f>
        <v>39127356572.120003</v>
      </c>
      <c r="C30" s="52">
        <v>34565969789.270004</v>
      </c>
    </row>
    <row r="31" spans="1:3" ht="15" x14ac:dyDescent="0.25">
      <c r="A31" s="17" t="s">
        <v>243</v>
      </c>
      <c r="B31" s="52">
        <v>0</v>
      </c>
      <c r="C31" s="52">
        <v>0</v>
      </c>
    </row>
    <row r="32" spans="1:3" ht="15" x14ac:dyDescent="0.25">
      <c r="A32" s="17" t="s">
        <v>94</v>
      </c>
      <c r="B32" s="52">
        <v>0</v>
      </c>
      <c r="C32" s="52">
        <v>0</v>
      </c>
    </row>
    <row r="33" spans="1:3" ht="15" x14ac:dyDescent="0.25">
      <c r="A33" s="33" t="s">
        <v>220</v>
      </c>
      <c r="B33" s="52">
        <v>604000000</v>
      </c>
      <c r="C33" s="52">
        <v>757100000</v>
      </c>
    </row>
    <row r="34" spans="1:3" ht="26.25" x14ac:dyDescent="0.25">
      <c r="A34" s="35" t="s">
        <v>95</v>
      </c>
      <c r="B34" s="52">
        <v>0</v>
      </c>
      <c r="C34" s="52">
        <v>0</v>
      </c>
    </row>
    <row r="35" spans="1:3" ht="15" x14ac:dyDescent="0.25">
      <c r="A35" s="17" t="s">
        <v>96</v>
      </c>
      <c r="B35" s="52">
        <v>0</v>
      </c>
      <c r="C35" s="52">
        <v>0</v>
      </c>
    </row>
    <row r="36" spans="1:3" ht="15" x14ac:dyDescent="0.25">
      <c r="A36" s="16" t="s">
        <v>5</v>
      </c>
      <c r="B36" s="52">
        <v>0</v>
      </c>
      <c r="C36" s="52">
        <v>0</v>
      </c>
    </row>
    <row r="37" spans="1:3" x14ac:dyDescent="0.2">
      <c r="A37" s="16" t="s">
        <v>6</v>
      </c>
      <c r="B37" s="14">
        <f>SUM(B38:B40)</f>
        <v>389867.8</v>
      </c>
      <c r="C37" s="14">
        <f>SUM(C38:C40)</f>
        <v>525374.34</v>
      </c>
    </row>
    <row r="38" spans="1:3" ht="15" x14ac:dyDescent="0.25">
      <c r="A38" s="23" t="s">
        <v>97</v>
      </c>
      <c r="B38" s="52">
        <v>389867.8</v>
      </c>
      <c r="C38" s="52">
        <v>525374.34</v>
      </c>
    </row>
    <row r="39" spans="1:3" ht="15" x14ac:dyDescent="0.25">
      <c r="A39" s="23" t="s">
        <v>98</v>
      </c>
      <c r="B39" s="52">
        <v>0</v>
      </c>
      <c r="C39" s="52">
        <v>0</v>
      </c>
    </row>
    <row r="40" spans="1:3" ht="15" x14ac:dyDescent="0.25">
      <c r="A40" s="23" t="s">
        <v>99</v>
      </c>
      <c r="B40" s="52">
        <v>0</v>
      </c>
      <c r="C40" s="52">
        <v>0</v>
      </c>
    </row>
    <row r="41" spans="1:3" ht="15" x14ac:dyDescent="0.25">
      <c r="A41" s="16" t="s">
        <v>52</v>
      </c>
      <c r="B41" s="52">
        <v>0</v>
      </c>
      <c r="C41" s="52">
        <v>0</v>
      </c>
    </row>
    <row r="42" spans="1:3" ht="26.25" x14ac:dyDescent="0.25">
      <c r="A42" s="24" t="s">
        <v>53</v>
      </c>
      <c r="B42" s="52">
        <v>0</v>
      </c>
      <c r="C42" s="52">
        <v>0</v>
      </c>
    </row>
    <row r="43" spans="1:3" x14ac:dyDescent="0.2">
      <c r="A43" s="15" t="s">
        <v>8</v>
      </c>
      <c r="B43" s="14">
        <f>B44+B54+B64+B65+B66+B67</f>
        <v>4303293867.7300014</v>
      </c>
      <c r="C43" s="14">
        <f>C44+C54+C64+C65+C66+C67</f>
        <v>9183320317.6199989</v>
      </c>
    </row>
    <row r="44" spans="1:3" x14ac:dyDescent="0.2">
      <c r="A44" s="16" t="s">
        <v>221</v>
      </c>
      <c r="B44" s="14">
        <f>B45+B53</f>
        <v>4299340656.960001</v>
      </c>
      <c r="C44" s="14">
        <f>C45+C53</f>
        <v>9178472602.2799988</v>
      </c>
    </row>
    <row r="45" spans="1:3" x14ac:dyDescent="0.2">
      <c r="A45" s="16" t="s">
        <v>244</v>
      </c>
      <c r="B45" s="14">
        <f>SUM(B46:B52)</f>
        <v>6804414157.3200006</v>
      </c>
      <c r="C45" s="14">
        <f>SUM(C46:C52)</f>
        <v>11787299295.639999</v>
      </c>
    </row>
    <row r="46" spans="1:3" ht="15" x14ac:dyDescent="0.25">
      <c r="A46" s="17" t="s">
        <v>100</v>
      </c>
      <c r="B46" s="52">
        <f>[1]Sheet!$N$121</f>
        <v>27900000</v>
      </c>
      <c r="C46" s="52">
        <v>1743462000</v>
      </c>
    </row>
    <row r="47" spans="1:3" ht="15" x14ac:dyDescent="0.25">
      <c r="A47" s="17" t="s">
        <v>101</v>
      </c>
      <c r="B47" s="52">
        <f>[1]Sheet!$N$122</f>
        <v>5726396061.6800003</v>
      </c>
      <c r="C47" s="52">
        <v>8998578000</v>
      </c>
    </row>
    <row r="48" spans="1:3" ht="15" x14ac:dyDescent="0.25">
      <c r="A48" s="17" t="s">
        <v>102</v>
      </c>
      <c r="B48" s="52">
        <f>[1]Sheet!$N$123</f>
        <v>549627840</v>
      </c>
      <c r="C48" s="52">
        <f>[1]Sheet!$N$123</f>
        <v>549627840</v>
      </c>
    </row>
    <row r="49" spans="1:5" ht="15" x14ac:dyDescent="0.25">
      <c r="A49" s="17" t="s">
        <v>103</v>
      </c>
      <c r="B49" s="52">
        <v>274886423.88999999</v>
      </c>
      <c r="C49" s="52">
        <v>270027623.88999999</v>
      </c>
    </row>
    <row r="50" spans="1:5" ht="15" x14ac:dyDescent="0.25">
      <c r="A50" s="17" t="s">
        <v>104</v>
      </c>
      <c r="B50" s="52">
        <v>40262269.75</v>
      </c>
      <c r="C50" s="53">
        <v>40262269.75</v>
      </c>
    </row>
    <row r="51" spans="1:5" ht="15" x14ac:dyDescent="0.25">
      <c r="A51" s="17" t="s">
        <v>105</v>
      </c>
      <c r="B51" s="52">
        <f>[1]Sheet!$N$126</f>
        <v>47379679.340000004</v>
      </c>
      <c r="C51" s="52">
        <f>[1]Sheet!$N$126</f>
        <v>47379679.340000004</v>
      </c>
    </row>
    <row r="52" spans="1:5" ht="15" x14ac:dyDescent="0.25">
      <c r="A52" s="17" t="s">
        <v>9</v>
      </c>
      <c r="B52" s="52">
        <f>[1]Sheet!$N$127</f>
        <v>137961882.66</v>
      </c>
      <c r="C52" s="52">
        <f>[1]Sheet!$N$127</f>
        <v>137961882.66</v>
      </c>
      <c r="E52" s="11" t="s">
        <v>106</v>
      </c>
    </row>
    <row r="53" spans="1:5" ht="15" x14ac:dyDescent="0.25">
      <c r="A53" s="34" t="s">
        <v>226</v>
      </c>
      <c r="B53" s="52">
        <f>-2565828402.99+60754902.63</f>
        <v>-2505073500.3599997</v>
      </c>
      <c r="C53" s="52">
        <f>-2608826693.36</f>
        <v>-2608826693.3600001</v>
      </c>
    </row>
    <row r="54" spans="1:5" x14ac:dyDescent="0.2">
      <c r="A54" s="16" t="s">
        <v>222</v>
      </c>
      <c r="B54" s="14">
        <f>B55+B63</f>
        <v>3953210.7699999996</v>
      </c>
      <c r="C54" s="14">
        <f>C55+C63</f>
        <v>4847715.3399999961</v>
      </c>
    </row>
    <row r="55" spans="1:5" x14ac:dyDescent="0.2">
      <c r="A55" s="16" t="s">
        <v>245</v>
      </c>
      <c r="B55" s="14">
        <f>SUM(B56:B62)</f>
        <v>35768416.810000002</v>
      </c>
      <c r="C55" s="14">
        <f>SUM(C56:C62)</f>
        <v>55883317.969999999</v>
      </c>
    </row>
    <row r="56" spans="1:5" ht="15" x14ac:dyDescent="0.25">
      <c r="A56" s="17" t="s">
        <v>107</v>
      </c>
      <c r="B56" s="52">
        <v>0</v>
      </c>
      <c r="C56" s="52">
        <v>0</v>
      </c>
    </row>
    <row r="57" spans="1:5" ht="15" x14ac:dyDescent="0.25">
      <c r="A57" s="17" t="s">
        <v>246</v>
      </c>
      <c r="B57" s="52">
        <v>35768416.810000002</v>
      </c>
      <c r="C57" s="52">
        <v>55883317.969999999</v>
      </c>
    </row>
    <row r="58" spans="1:5" ht="15" x14ac:dyDescent="0.25">
      <c r="A58" s="17" t="s">
        <v>108</v>
      </c>
      <c r="B58" s="52">
        <v>0</v>
      </c>
      <c r="C58" s="52">
        <v>0</v>
      </c>
    </row>
    <row r="59" spans="1:5" ht="15" x14ac:dyDescent="0.25">
      <c r="A59" s="17" t="s">
        <v>109</v>
      </c>
      <c r="B59" s="52">
        <v>0</v>
      </c>
      <c r="C59" s="52">
        <v>0</v>
      </c>
    </row>
    <row r="60" spans="1:5" ht="15" x14ac:dyDescent="0.25">
      <c r="A60" s="17" t="s">
        <v>110</v>
      </c>
      <c r="B60" s="52">
        <v>0</v>
      </c>
      <c r="C60" s="52">
        <v>0</v>
      </c>
    </row>
    <row r="61" spans="1:5" ht="15" x14ac:dyDescent="0.25">
      <c r="A61" s="17" t="s">
        <v>111</v>
      </c>
      <c r="B61" s="52">
        <v>0</v>
      </c>
      <c r="C61" s="52">
        <v>0</v>
      </c>
    </row>
    <row r="62" spans="1:5" ht="15" x14ac:dyDescent="0.25">
      <c r="A62" s="17" t="s">
        <v>112</v>
      </c>
      <c r="B62" s="52">
        <v>0</v>
      </c>
      <c r="C62" s="52">
        <v>0</v>
      </c>
    </row>
    <row r="63" spans="1:5" ht="15" x14ac:dyDescent="0.25">
      <c r="A63" s="34" t="s">
        <v>226</v>
      </c>
      <c r="B63" s="52">
        <f>-26477994.6-5337211.44</f>
        <v>-31815206.040000003</v>
      </c>
      <c r="C63" s="52">
        <v>-51035602.630000003</v>
      </c>
    </row>
    <row r="64" spans="1:5" ht="15" x14ac:dyDescent="0.25">
      <c r="A64" s="16" t="s">
        <v>10</v>
      </c>
      <c r="B64" s="52">
        <v>0</v>
      </c>
      <c r="C64" s="52">
        <v>0</v>
      </c>
    </row>
    <row r="65" spans="1:5" ht="15" x14ac:dyDescent="0.25">
      <c r="A65" s="16" t="s">
        <v>113</v>
      </c>
      <c r="B65" s="52">
        <v>0</v>
      </c>
      <c r="C65" s="52">
        <v>0</v>
      </c>
    </row>
    <row r="66" spans="1:5" ht="15" x14ac:dyDescent="0.25">
      <c r="A66" s="16" t="s">
        <v>54</v>
      </c>
      <c r="B66" s="52">
        <v>0</v>
      </c>
      <c r="C66" s="52">
        <v>0</v>
      </c>
    </row>
    <row r="67" spans="1:5" ht="15" x14ac:dyDescent="0.25">
      <c r="A67" s="16" t="s">
        <v>55</v>
      </c>
      <c r="B67" s="52">
        <v>0</v>
      </c>
      <c r="C67" s="52">
        <v>0</v>
      </c>
    </row>
    <row r="68" spans="1:5" x14ac:dyDescent="0.2">
      <c r="A68" s="18" t="s">
        <v>56</v>
      </c>
      <c r="B68" s="14">
        <f>B69+B99</f>
        <v>54840990294.069992</v>
      </c>
      <c r="C68" s="14">
        <f>C69+C99</f>
        <v>58336890777.050003</v>
      </c>
      <c r="D68" s="11" t="str">
        <f>IF((ROUND(B5,2)-ROUND(B68,2))=0,"  ","B5-н дүн нь B68-н дүнтэй зөрж байна")</f>
        <v xml:space="preserve">  </v>
      </c>
      <c r="E68" s="11" t="str">
        <f>IF((ROUND(C5,2)-ROUND(C68,2))=0,"  ","C5-н дүн нь C68-н дүнтэй зөрж байна")</f>
        <v xml:space="preserve">  </v>
      </c>
    </row>
    <row r="69" spans="1:5" x14ac:dyDescent="0.2">
      <c r="A69" s="15" t="s">
        <v>11</v>
      </c>
      <c r="B69" s="14">
        <f>B70+B91</f>
        <v>25383144681.859997</v>
      </c>
      <c r="C69" s="14">
        <f>C70+C91</f>
        <v>22020737156.660007</v>
      </c>
    </row>
    <row r="70" spans="1:5" x14ac:dyDescent="0.2">
      <c r="A70" s="16" t="s">
        <v>12</v>
      </c>
      <c r="B70" s="14">
        <f>B71+B74+B75+B81+B82+B85+B86+B87+B88+B89+B90</f>
        <v>7255513776.0299997</v>
      </c>
      <c r="C70" s="14">
        <f>C71+C74+C75+C81+C82+C85+C86+C87+C88+C89+C90</f>
        <v>10050706250.65</v>
      </c>
    </row>
    <row r="71" spans="1:5" x14ac:dyDescent="0.2">
      <c r="A71" s="16" t="s">
        <v>13</v>
      </c>
      <c r="B71" s="14">
        <f>SUM(B72:B73)</f>
        <v>395000913.73000002</v>
      </c>
      <c r="C71" s="14">
        <f>SUM(C72:C73)</f>
        <v>6770712436.75</v>
      </c>
    </row>
    <row r="72" spans="1:5" ht="15" x14ac:dyDescent="0.25">
      <c r="A72" s="17" t="s">
        <v>114</v>
      </c>
      <c r="B72" s="52">
        <v>395000913.73000002</v>
      </c>
      <c r="C72" s="52">
        <v>6770712436.75</v>
      </c>
    </row>
    <row r="73" spans="1:5" ht="15" x14ac:dyDescent="0.25">
      <c r="A73" s="17" t="s">
        <v>115</v>
      </c>
      <c r="B73" s="52">
        <v>0</v>
      </c>
      <c r="C73" s="52">
        <v>0</v>
      </c>
    </row>
    <row r="74" spans="1:5" ht="15" x14ac:dyDescent="0.25">
      <c r="A74" s="16" t="s">
        <v>14</v>
      </c>
      <c r="B74" s="52">
        <v>0</v>
      </c>
      <c r="C74" s="52">
        <v>0</v>
      </c>
    </row>
    <row r="75" spans="1:5" x14ac:dyDescent="0.2">
      <c r="A75" s="16" t="s">
        <v>57</v>
      </c>
      <c r="B75" s="14">
        <f>SUM(B76:B80)</f>
        <v>285253749.77999997</v>
      </c>
      <c r="C75" s="14">
        <f>SUM(C76:C80)</f>
        <v>281870919.36000001</v>
      </c>
    </row>
    <row r="76" spans="1:5" ht="15" x14ac:dyDescent="0.25">
      <c r="A76" s="17" t="s">
        <v>116</v>
      </c>
      <c r="B76" s="52">
        <v>251260719.25</v>
      </c>
      <c r="C76" s="52">
        <v>238625184.36000001</v>
      </c>
    </row>
    <row r="77" spans="1:5" ht="15" x14ac:dyDescent="0.25">
      <c r="A77" s="17" t="s">
        <v>117</v>
      </c>
      <c r="B77" s="52">
        <v>0</v>
      </c>
      <c r="C77" s="52">
        <v>0</v>
      </c>
    </row>
    <row r="78" spans="1:5" ht="15" x14ac:dyDescent="0.25">
      <c r="A78" s="17" t="s">
        <v>118</v>
      </c>
      <c r="B78" s="52">
        <v>33993030.530000001</v>
      </c>
      <c r="C78" s="52">
        <v>43245735</v>
      </c>
    </row>
    <row r="79" spans="1:5" ht="15" x14ac:dyDescent="0.25">
      <c r="A79" s="17" t="s">
        <v>119</v>
      </c>
      <c r="B79" s="52">
        <v>0</v>
      </c>
      <c r="C79" s="52">
        <v>0</v>
      </c>
    </row>
    <row r="80" spans="1:5" ht="15" x14ac:dyDescent="0.25">
      <c r="A80" s="17" t="s">
        <v>120</v>
      </c>
      <c r="B80" s="52">
        <v>0</v>
      </c>
      <c r="C80" s="52">
        <v>0</v>
      </c>
    </row>
    <row r="81" spans="1:3" ht="15" x14ac:dyDescent="0.25">
      <c r="A81" s="16" t="s">
        <v>121</v>
      </c>
      <c r="B81" s="52">
        <v>44332651.619999997</v>
      </c>
      <c r="C81" s="52">
        <v>0</v>
      </c>
    </row>
    <row r="82" spans="1:3" x14ac:dyDescent="0.2">
      <c r="A82" s="16" t="s">
        <v>58</v>
      </c>
      <c r="B82" s="14">
        <f>SUM(B83:B84)</f>
        <v>2478762202.6599998</v>
      </c>
      <c r="C82" s="14">
        <f>SUM(C83:C84)</f>
        <v>21236797.34</v>
      </c>
    </row>
    <row r="83" spans="1:3" ht="15" x14ac:dyDescent="0.25">
      <c r="A83" s="17" t="s">
        <v>114</v>
      </c>
      <c r="B83" s="52">
        <v>2478762202.6599998</v>
      </c>
      <c r="C83" s="52">
        <v>21236797.34</v>
      </c>
    </row>
    <row r="84" spans="1:3" ht="15" x14ac:dyDescent="0.25">
      <c r="A84" s="17" t="s">
        <v>115</v>
      </c>
      <c r="B84" s="52">
        <v>0</v>
      </c>
      <c r="C84" s="52">
        <v>0</v>
      </c>
    </row>
    <row r="85" spans="1:3" ht="15" x14ac:dyDescent="0.25">
      <c r="A85" s="16" t="s">
        <v>122</v>
      </c>
      <c r="B85" s="52">
        <v>497374850</v>
      </c>
      <c r="C85" s="52">
        <v>29839973.120000001</v>
      </c>
    </row>
    <row r="86" spans="1:3" ht="15" x14ac:dyDescent="0.25">
      <c r="A86" s="16" t="s">
        <v>15</v>
      </c>
      <c r="B86" s="52">
        <v>57374539.25</v>
      </c>
      <c r="C86" s="52">
        <v>0</v>
      </c>
    </row>
    <row r="87" spans="1:3" ht="15" x14ac:dyDescent="0.25">
      <c r="A87" s="16" t="s">
        <v>59</v>
      </c>
      <c r="B87" s="52"/>
      <c r="C87" s="52"/>
    </row>
    <row r="88" spans="1:3" ht="15" x14ac:dyDescent="0.25">
      <c r="A88" s="16" t="s">
        <v>123</v>
      </c>
      <c r="B88" s="52">
        <v>41084649</v>
      </c>
      <c r="C88" s="52">
        <v>41084649</v>
      </c>
    </row>
    <row r="89" spans="1:3" ht="15" x14ac:dyDescent="0.25">
      <c r="A89" s="16" t="s">
        <v>60</v>
      </c>
      <c r="B89" s="52">
        <v>3456330219.9899998</v>
      </c>
      <c r="C89" s="52">
        <v>2905961475.0799999</v>
      </c>
    </row>
    <row r="90" spans="1:3" ht="39" x14ac:dyDescent="0.25">
      <c r="A90" s="24" t="s">
        <v>124</v>
      </c>
      <c r="B90" s="52">
        <v>0</v>
      </c>
      <c r="C90" s="52">
        <v>0</v>
      </c>
    </row>
    <row r="91" spans="1:3" x14ac:dyDescent="0.2">
      <c r="A91" s="16" t="s">
        <v>16</v>
      </c>
      <c r="B91" s="14">
        <f>B92+B96+B97+B98</f>
        <v>18127630905.829998</v>
      </c>
      <c r="C91" s="14">
        <f>C92+C96+C97+C98</f>
        <v>11970030906.010008</v>
      </c>
    </row>
    <row r="92" spans="1:3" x14ac:dyDescent="0.2">
      <c r="A92" s="16" t="s">
        <v>137</v>
      </c>
      <c r="B92" s="14">
        <f>SUM(B93:B95)</f>
        <v>18125095510.049999</v>
      </c>
      <c r="C92" s="14">
        <f>SUM(C93:C95)</f>
        <v>11967495510.230007</v>
      </c>
    </row>
    <row r="93" spans="1:3" ht="15" x14ac:dyDescent="0.25">
      <c r="A93" s="17" t="s">
        <v>125</v>
      </c>
      <c r="B93" s="52"/>
      <c r="C93" s="52"/>
    </row>
    <row r="94" spans="1:3" ht="15" x14ac:dyDescent="0.25">
      <c r="A94" s="17" t="s">
        <v>126</v>
      </c>
      <c r="B94" s="52">
        <v>0</v>
      </c>
      <c r="C94" s="52">
        <v>0</v>
      </c>
    </row>
    <row r="95" spans="1:3" ht="15" x14ac:dyDescent="0.25">
      <c r="A95" s="17" t="s">
        <v>127</v>
      </c>
      <c r="B95" s="52">
        <v>18125095510.049999</v>
      </c>
      <c r="C95" s="52">
        <v>11967495510.230007</v>
      </c>
    </row>
    <row r="96" spans="1:3" ht="15" x14ac:dyDescent="0.25">
      <c r="A96" s="16" t="s">
        <v>123</v>
      </c>
      <c r="B96" s="52">
        <v>0</v>
      </c>
      <c r="C96" s="52">
        <v>0</v>
      </c>
    </row>
    <row r="97" spans="1:5" ht="15" x14ac:dyDescent="0.25">
      <c r="A97" s="16" t="s">
        <v>128</v>
      </c>
      <c r="B97" s="52">
        <v>0</v>
      </c>
      <c r="C97" s="52">
        <v>0</v>
      </c>
    </row>
    <row r="98" spans="1:5" ht="26.25" x14ac:dyDescent="0.25">
      <c r="A98" s="24" t="s">
        <v>129</v>
      </c>
      <c r="B98" s="52">
        <f>[1]Sheet!$N$189</f>
        <v>2535395.7799999998</v>
      </c>
      <c r="C98" s="52">
        <f>[1]Sheet!$N$189</f>
        <v>2535395.7799999998</v>
      </c>
    </row>
    <row r="99" spans="1:5" x14ac:dyDescent="0.2">
      <c r="A99" s="15" t="s">
        <v>61</v>
      </c>
      <c r="B99" s="14">
        <f>B100+B104+B105+B107+B110+B114+B115+B106</f>
        <v>29457845612.209999</v>
      </c>
      <c r="C99" s="14">
        <f>C100+C104+C105+C107+C110+C114+C115+C106</f>
        <v>36316153620.389999</v>
      </c>
      <c r="D99" s="11" t="str">
        <f>IF((ROUND(CA!J12,2)-ROUND(B99,2))=0," ","B99 дүн нь Өмчийн өөрчлөлтийн тайлангийн J12 дүнтэй зөрж байна")</f>
        <v xml:space="preserve"> </v>
      </c>
      <c r="E99" s="11" t="str">
        <f>IF((ROUND(CA!J20,2)-ROUND(C99,2))=0," ","C99 дүн нь Өмчийн өөрчлөлтийн тайлангийн J20 дүнтэй зөрж байна")</f>
        <v xml:space="preserve"> </v>
      </c>
    </row>
    <row r="100" spans="1:5" x14ac:dyDescent="0.2">
      <c r="A100" s="16" t="s">
        <v>76</v>
      </c>
      <c r="B100" s="14">
        <f>SUM(B101:B103)</f>
        <v>9326763118.3199997</v>
      </c>
      <c r="C100" s="14">
        <f>SUM(C101:C103)</f>
        <v>9326763118.3199997</v>
      </c>
      <c r="D100" s="11" t="str">
        <f>IF((ROUND(CA!B12,2)-ROUND(B100,2))=0," ","B100 дүн нь Өмчийн өөрчлөлтийн тайлангийн B12 дүнтэй зөрж байна")</f>
        <v xml:space="preserve"> </v>
      </c>
      <c r="E100" s="11" t="str">
        <f>IF((ROUND(CA!B20,2)-ROUND(C100,2))=0," ","C100 дүн нь Өмчийн өөрчлөлтийн тайлангийн B20 дүнтэй зөрж байна")</f>
        <v xml:space="preserve"> </v>
      </c>
    </row>
    <row r="101" spans="1:5" ht="15" x14ac:dyDescent="0.25">
      <c r="A101" s="17" t="s">
        <v>130</v>
      </c>
      <c r="B101" s="52">
        <v>0</v>
      </c>
      <c r="C101" s="52">
        <v>0</v>
      </c>
    </row>
    <row r="102" spans="1:5" ht="15" x14ac:dyDescent="0.25">
      <c r="A102" s="17" t="s">
        <v>131</v>
      </c>
      <c r="B102" s="52">
        <v>0</v>
      </c>
      <c r="C102" s="52">
        <v>0</v>
      </c>
    </row>
    <row r="103" spans="1:5" ht="15" x14ac:dyDescent="0.25">
      <c r="A103" s="17" t="s">
        <v>132</v>
      </c>
      <c r="B103" s="52">
        <v>9326763118.3199997</v>
      </c>
      <c r="C103" s="52">
        <f>[1]Sheet!$N$192</f>
        <v>9326763118.3199997</v>
      </c>
    </row>
    <row r="104" spans="1:5" ht="15" x14ac:dyDescent="0.25">
      <c r="A104" s="16" t="s">
        <v>17</v>
      </c>
      <c r="B104" s="52">
        <v>0</v>
      </c>
      <c r="C104" s="52">
        <v>0</v>
      </c>
      <c r="D104" s="11" t="str">
        <f>IF((ROUND(CA!C12,2)-ROUND(B104,2))=0," ","B104 дүн нь Өмчийн өөрчлөлтийн тайлангийн C12 дүнтэй зөрж байна")</f>
        <v xml:space="preserve"> </v>
      </c>
      <c r="E104" s="11" t="str">
        <f>IF((ROUND(CA!C20,2)-ROUND(C104,2))=0," ","C104 дүн нь Өмчийн өөрчлөлтийн тайлангийн C20 дүнтэй зөрж байна")</f>
        <v xml:space="preserve"> </v>
      </c>
    </row>
    <row r="105" spans="1:5" ht="15" x14ac:dyDescent="0.25">
      <c r="A105" s="16" t="s">
        <v>18</v>
      </c>
      <c r="B105" s="52">
        <v>34472.68</v>
      </c>
      <c r="C105" s="52">
        <v>34472.68</v>
      </c>
      <c r="D105" s="11" t="str">
        <f>IF((ROUND(CA!D12,2)-ROUND(B105,2))=0," ","B105 дүн нь Өмчийн өөрчлөлтийн тайлангийн D12 дүнтэй зөрж байна")</f>
        <v xml:space="preserve"> </v>
      </c>
      <c r="E105" s="11" t="str">
        <f>IF((ROUND(CA!D20,2)-ROUND(C105,2))=0," ","C105 дүн нь Өмчийн өөрчлөлтийн тайлангийн D20 дүнтэй зөрж байна")</f>
        <v xml:space="preserve"> </v>
      </c>
    </row>
    <row r="106" spans="1:5" ht="15" x14ac:dyDescent="0.25">
      <c r="A106" s="40" t="s">
        <v>230</v>
      </c>
      <c r="B106" s="52">
        <v>0</v>
      </c>
      <c r="C106" s="52">
        <v>0</v>
      </c>
      <c r="D106" s="11" t="str">
        <f>IF((ROUND(CA!E12,2)-ROUND(B106,2))=0," ","B106 дүн нь Өмчийн өөрчлөлтийн тайлангийн E12 дүнтэй зөрж байна")</f>
        <v xml:space="preserve"> </v>
      </c>
      <c r="E106" s="11" t="str">
        <f>IF((ROUND(CA!E20,2)-ROUND(C106,2))=0," ","C106 дүн нь Өмчийн өөрчлөлтийн тайлангийн E20 дүнтэй зөрж байна")</f>
        <v xml:space="preserve"> </v>
      </c>
    </row>
    <row r="107" spans="1:5" x14ac:dyDescent="0.2">
      <c r="A107" s="16" t="s">
        <v>62</v>
      </c>
      <c r="B107" s="14">
        <f>SUM(B108:B109)</f>
        <v>3821437107.8200002</v>
      </c>
      <c r="C107" s="14">
        <f>SUM(C108:C109)</f>
        <v>10773691652.389999</v>
      </c>
      <c r="D107" s="11" t="str">
        <f>IF((ROUND(CA!F12,2)-ROUND(B107,2))=0," ","B107 дүн нь Өмчийн өөрчлөлтийн тайлангийн F12 дүнтэй зөрж байна")</f>
        <v xml:space="preserve"> </v>
      </c>
      <c r="E107" s="11" t="str">
        <f>IF((ROUND(CA!F20,2)-ROUND(C107,2))=0," ","C107 дүн нь Өмчийн өөрчлөлтийн тайлангийн F20 дүнтэй зөрж байна")</f>
        <v xml:space="preserve"> </v>
      </c>
    </row>
    <row r="108" spans="1:5" ht="15" x14ac:dyDescent="0.25">
      <c r="A108" s="17" t="s">
        <v>133</v>
      </c>
      <c r="B108" s="52">
        <v>3821437107.8200002</v>
      </c>
      <c r="C108" s="52">
        <v>10773691652.389999</v>
      </c>
    </row>
    <row r="109" spans="1:5" ht="15" x14ac:dyDescent="0.25">
      <c r="A109" s="17" t="s">
        <v>134</v>
      </c>
      <c r="B109" s="52">
        <v>0</v>
      </c>
      <c r="C109" s="52">
        <v>0</v>
      </c>
    </row>
    <row r="110" spans="1:5" x14ac:dyDescent="0.2">
      <c r="A110" s="16" t="s">
        <v>37</v>
      </c>
      <c r="B110" s="14">
        <f>SUM(B111:B113)</f>
        <v>0</v>
      </c>
      <c r="C110" s="14">
        <f>SUM(C111:C113)</f>
        <v>0</v>
      </c>
      <c r="D110" s="11" t="str">
        <f>IF((ROUND(CA!G12,2)-ROUND(B110,2))=0," ","B110 дүн нь Өмчийн өөрчлөлтийн тайлангийн G12 дүнтэй зөрж байна")</f>
        <v xml:space="preserve"> </v>
      </c>
      <c r="E110" s="11" t="str">
        <f>IF((ROUND(CA!G20,2)-ROUND(C110,2))=0," ","C110 дүн нь Өмчийн өөрчлөлтийн тайлангийн G20 дүнтэй зөрж байна")</f>
        <v xml:space="preserve"> </v>
      </c>
    </row>
    <row r="111" spans="1:5" ht="26.25" x14ac:dyDescent="0.25">
      <c r="A111" s="23" t="s">
        <v>135</v>
      </c>
      <c r="B111" s="52">
        <v>0</v>
      </c>
      <c r="C111" s="52">
        <v>0</v>
      </c>
    </row>
    <row r="112" spans="1:5" ht="26.25" x14ac:dyDescent="0.25">
      <c r="A112" s="23" t="s">
        <v>136</v>
      </c>
      <c r="B112" s="52">
        <v>0</v>
      </c>
      <c r="C112" s="52">
        <v>0</v>
      </c>
    </row>
    <row r="113" spans="1:5" ht="15" x14ac:dyDescent="0.25">
      <c r="A113" s="17" t="s">
        <v>7</v>
      </c>
      <c r="B113" s="52">
        <v>0</v>
      </c>
      <c r="C113" s="52">
        <v>0</v>
      </c>
    </row>
    <row r="114" spans="1:5" ht="15" x14ac:dyDescent="0.25">
      <c r="A114" s="16" t="s">
        <v>63</v>
      </c>
      <c r="B114" s="52">
        <v>0</v>
      </c>
      <c r="C114" s="52">
        <v>-1733318026</v>
      </c>
      <c r="D114" s="11" t="str">
        <f>IF((ROUND(CA!H12,2)-ROUND(B114,2))=0," ","B114 дүн нь Өмчийн өөрчлөлтийн тайлангийн H12 дүнтэй зөрж байна")</f>
        <v xml:space="preserve"> </v>
      </c>
      <c r="E114" s="11" t="str">
        <f>IF((ROUND(CA!H20,2)-ROUND(C114,2))=0," ","C114 дүн нь Өмчийн өөрчлөлтийн тайлангийн H20 дүнтэй зөрж байна")</f>
        <v xml:space="preserve"> </v>
      </c>
    </row>
    <row r="115" spans="1:5" x14ac:dyDescent="0.2">
      <c r="A115" s="19" t="s">
        <v>19</v>
      </c>
      <c r="B115" s="14">
        <f>SUM(B116:B117)</f>
        <v>16309610913.389999</v>
      </c>
      <c r="C115" s="14">
        <f>SUM(C116:C117)</f>
        <v>17948982403</v>
      </c>
      <c r="D115" s="11" t="str">
        <f>IF((ROUND(CA!I12,2)-ROUND(B115,2))=0," ","B115 дүн нь Өмчийн өөрчлөлтийн тайлангийн I12 дүнтэй зөрж байна")</f>
        <v xml:space="preserve"> </v>
      </c>
      <c r="E115" s="11" t="str">
        <f>IF((ROUND(CA!I20,2)-ROUND(C115,2))=0," ","C115 дүн нь Өмчийн өөрчлөлтийн тайлангийн I20 дүнтэй зөрж байна")</f>
        <v xml:space="preserve"> </v>
      </c>
    </row>
    <row r="116" spans="1:5" ht="15" x14ac:dyDescent="0.25">
      <c r="A116" s="20" t="s">
        <v>20</v>
      </c>
      <c r="B116" s="52">
        <v>9230170320.8600006</v>
      </c>
      <c r="C116" s="52">
        <f>+IS!C76</f>
        <v>1639371489.6100001</v>
      </c>
      <c r="D116" s="11" t="str">
        <f>IF((ROUND(B116,2)-ROUND(IS!B71,2))=0," ","B116 дүн нь Орлогын дэлгэрэнгүй тайлангийн B71 дүнтэй зөрж байна")</f>
        <v xml:space="preserve"> </v>
      </c>
      <c r="E116" s="11" t="str">
        <f>IF((ROUND(C116,2)-ROUND(IS!C71,2))=0," ","C116 дүн нь Орлогын дэлгэрэнгүй тайлангийн C71 дүнтэй зөрж байна")</f>
        <v xml:space="preserve"> </v>
      </c>
    </row>
    <row r="117" spans="1:5" ht="15" x14ac:dyDescent="0.25">
      <c r="A117" s="20" t="s">
        <v>21</v>
      </c>
      <c r="B117" s="52">
        <v>7079440592.5299997</v>
      </c>
      <c r="C117" s="52">
        <f>+B115</f>
        <v>16309610913.389999</v>
      </c>
      <c r="E117" s="11" t="str">
        <f>IF((ROUND(B115,2)-ROUND(C117,2))=0,"  ","B115 дүн нь C117 дүнтэй зөрж байна")</f>
        <v xml:space="preserve">  </v>
      </c>
    </row>
    <row r="119" spans="1:5" x14ac:dyDescent="0.2">
      <c r="B119" s="42" t="s">
        <v>252</v>
      </c>
    </row>
    <row r="120" spans="1:5" x14ac:dyDescent="0.2">
      <c r="A120" s="45" t="s">
        <v>250</v>
      </c>
      <c r="B120" s="44"/>
      <c r="C120" s="43" t="s">
        <v>267</v>
      </c>
    </row>
    <row r="121" spans="1:5" x14ac:dyDescent="0.2">
      <c r="C121" s="11"/>
    </row>
    <row r="122" spans="1:5" x14ac:dyDescent="0.2">
      <c r="A122" s="45" t="s">
        <v>251</v>
      </c>
      <c r="B122" s="45"/>
      <c r="C122" s="43" t="s">
        <v>270</v>
      </c>
    </row>
  </sheetData>
  <sheetProtection algorithmName="SHA-512" hashValue="NDLBlKzgaD5QP5anzdoXlAPSfes0vtiPCc4mowC8PE08CuCE5jtd7+2diQ/P3VR/OVybd1Shx6vXSl0gdwGyUQ==" saltValue="b7ZlBRnll468ANpAqJ53PA==" spinCount="100000" sheet="1" objects="1" scenarios="1"/>
  <dataValidations count="1">
    <dataValidation type="decimal" operator="notEqual" allowBlank="1" showErrorMessage="1" error="This is an invalid value!" sqref="B16:C17 B9:C10 B38:C42 B20:C21 B93:C98 B116:C117 B76:C81 B72:C73 B83:C90 B23:C28 B12:C14 B56:C67 C49 B46:C48 B51:C53 B49:B50" xr:uid="{00000000-0002-0000-0000-000000000000}">
      <formula1>1E+25</formula1>
      <formula2>0</formula2>
    </dataValidation>
  </dataValidations>
  <pageMargins left="0.75" right="0.3" top="0.3" bottom="0.3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83"/>
  <sheetViews>
    <sheetView topLeftCell="A50" zoomScaleNormal="100" workbookViewId="0">
      <selection activeCell="A50" sqref="A1:XFD1048576"/>
    </sheetView>
  </sheetViews>
  <sheetFormatPr defaultColWidth="11.42578125" defaultRowHeight="12.75" x14ac:dyDescent="0.2"/>
  <cols>
    <col min="1" max="1" width="57.140625" style="3" bestFit="1" customWidth="1"/>
    <col min="2" max="2" width="17.7109375" style="3" customWidth="1"/>
    <col min="3" max="3" width="18.42578125" style="3" customWidth="1"/>
    <col min="4" max="16384" width="11.42578125" style="3"/>
  </cols>
  <sheetData>
    <row r="2" spans="1:3" x14ac:dyDescent="0.2">
      <c r="A2" s="5" t="s">
        <v>249</v>
      </c>
    </row>
    <row r="3" spans="1:3" x14ac:dyDescent="0.2">
      <c r="A3" s="36" t="s">
        <v>48</v>
      </c>
      <c r="B3" s="21" t="s">
        <v>141</v>
      </c>
      <c r="C3" s="21" t="s">
        <v>142</v>
      </c>
    </row>
    <row r="4" spans="1:3" x14ac:dyDescent="0.2">
      <c r="A4" s="24" t="s">
        <v>24</v>
      </c>
      <c r="B4" s="14">
        <f>SUM(B5:B11)</f>
        <v>15026138886.48</v>
      </c>
      <c r="C4" s="14">
        <f>SUM(C5:C11)</f>
        <v>2928691211.6400003</v>
      </c>
    </row>
    <row r="5" spans="1:3" ht="15" x14ac:dyDescent="0.25">
      <c r="A5" s="23" t="s">
        <v>227</v>
      </c>
      <c r="B5" s="52">
        <v>1428675281.5999999</v>
      </c>
      <c r="C5" s="52">
        <v>272248005.54000002</v>
      </c>
    </row>
    <row r="6" spans="1:3" ht="15" x14ac:dyDescent="0.25">
      <c r="A6" s="23" t="s">
        <v>228</v>
      </c>
      <c r="B6" s="52">
        <v>0</v>
      </c>
      <c r="C6" s="52">
        <v>0</v>
      </c>
    </row>
    <row r="7" spans="1:3" ht="15" x14ac:dyDescent="0.25">
      <c r="A7" s="23" t="s">
        <v>138</v>
      </c>
      <c r="B7" s="52">
        <v>651000000</v>
      </c>
      <c r="C7" s="52">
        <v>167500000</v>
      </c>
    </row>
    <row r="8" spans="1:3" ht="15" x14ac:dyDescent="0.25">
      <c r="A8" s="23" t="s">
        <v>242</v>
      </c>
      <c r="B8" s="52">
        <v>0</v>
      </c>
      <c r="C8" s="52">
        <v>49000000</v>
      </c>
    </row>
    <row r="9" spans="1:3" ht="15" x14ac:dyDescent="0.25">
      <c r="A9" s="23" t="s">
        <v>139</v>
      </c>
      <c r="B9" s="52">
        <v>6967844203.8800001</v>
      </c>
      <c r="C9" s="52">
        <v>950510112.87</v>
      </c>
    </row>
    <row r="10" spans="1:3" ht="15" x14ac:dyDescent="0.25">
      <c r="A10" s="23" t="s">
        <v>229</v>
      </c>
      <c r="B10" s="52">
        <v>0</v>
      </c>
      <c r="C10" s="52">
        <v>0</v>
      </c>
    </row>
    <row r="11" spans="1:3" ht="15" x14ac:dyDescent="0.25">
      <c r="A11" s="23" t="s">
        <v>140</v>
      </c>
      <c r="B11" s="52">
        <v>5978619401</v>
      </c>
      <c r="C11" s="52">
        <v>1489433093.23</v>
      </c>
    </row>
    <row r="12" spans="1:3" ht="15" x14ac:dyDescent="0.25">
      <c r="A12" s="24" t="s">
        <v>64</v>
      </c>
      <c r="B12" s="52">
        <v>0</v>
      </c>
      <c r="C12" s="52">
        <v>0</v>
      </c>
    </row>
    <row r="13" spans="1:3" ht="15" x14ac:dyDescent="0.25">
      <c r="A13" s="24" t="s">
        <v>65</v>
      </c>
      <c r="B13" s="52">
        <v>751609060.25999999</v>
      </c>
      <c r="C13" s="52">
        <v>468825144.52999997</v>
      </c>
    </row>
    <row r="14" spans="1:3" x14ac:dyDescent="0.2">
      <c r="A14" s="24" t="s">
        <v>66</v>
      </c>
      <c r="B14" s="14">
        <f>SUM(B15:B16)</f>
        <v>1095014183.5899999</v>
      </c>
      <c r="C14" s="14">
        <f>SUM(C15:C16)</f>
        <v>942323988.11000001</v>
      </c>
    </row>
    <row r="15" spans="1:3" ht="15" x14ac:dyDescent="0.25">
      <c r="A15" s="23" t="s">
        <v>143</v>
      </c>
      <c r="B15" s="52">
        <v>1095014183.5899999</v>
      </c>
      <c r="C15" s="52">
        <v>942323988.11000001</v>
      </c>
    </row>
    <row r="16" spans="1:3" ht="15" x14ac:dyDescent="0.25">
      <c r="A16" s="23" t="s">
        <v>144</v>
      </c>
      <c r="B16" s="52">
        <v>0</v>
      </c>
      <c r="C16" s="52">
        <v>0</v>
      </c>
    </row>
    <row r="17" spans="1:3" ht="15" x14ac:dyDescent="0.25">
      <c r="A17" s="24" t="s">
        <v>67</v>
      </c>
      <c r="B17" s="52">
        <v>0</v>
      </c>
      <c r="C17" s="52">
        <v>0</v>
      </c>
    </row>
    <row r="18" spans="1:3" ht="15" x14ac:dyDescent="0.25">
      <c r="A18" s="24" t="s">
        <v>68</v>
      </c>
      <c r="B18" s="52">
        <v>866734427.75999999</v>
      </c>
      <c r="C18" s="52">
        <v>687785394.99000001</v>
      </c>
    </row>
    <row r="19" spans="1:3" x14ac:dyDescent="0.2">
      <c r="A19" s="16" t="s">
        <v>145</v>
      </c>
      <c r="B19" s="14">
        <f>SUM(B30:B46)+B20+B23+B24</f>
        <v>5125721536.4899998</v>
      </c>
      <c r="C19" s="14">
        <f>SUM(C30:C46)+C20+C23+C24</f>
        <v>2055886909.0299993</v>
      </c>
    </row>
    <row r="20" spans="1:3" x14ac:dyDescent="0.2">
      <c r="A20" s="23" t="s">
        <v>146</v>
      </c>
      <c r="B20" s="14">
        <f>SUM(B21:B22)</f>
        <v>2032886820.3399999</v>
      </c>
      <c r="C20" s="14">
        <f>SUM(C21:C22)</f>
        <v>1011669154.36</v>
      </c>
    </row>
    <row r="21" spans="1:3" ht="15" x14ac:dyDescent="0.25">
      <c r="A21" s="37" t="s">
        <v>234</v>
      </c>
      <c r="B21" s="52">
        <v>353938000</v>
      </c>
      <c r="C21" s="52">
        <v>994529254.36000001</v>
      </c>
    </row>
    <row r="22" spans="1:3" ht="15" x14ac:dyDescent="0.25">
      <c r="A22" s="37" t="s">
        <v>235</v>
      </c>
      <c r="B22" s="52">
        <v>1678948820.3399999</v>
      </c>
      <c r="C22" s="52">
        <f>[2]Sheet!$J$34</f>
        <v>17139900</v>
      </c>
    </row>
    <row r="23" spans="1:3" ht="15" x14ac:dyDescent="0.25">
      <c r="A23" s="23" t="s">
        <v>238</v>
      </c>
      <c r="B23" s="52">
        <v>228846660.56</v>
      </c>
      <c r="C23" s="52">
        <v>127602031.44</v>
      </c>
    </row>
    <row r="24" spans="1:3" x14ac:dyDescent="0.2">
      <c r="A24" s="23" t="s">
        <v>147</v>
      </c>
      <c r="B24" s="14">
        <f>SUM(B25:B29)</f>
        <v>1551992650.78</v>
      </c>
      <c r="C24" s="14">
        <f>SUM(C25:C29)</f>
        <v>346129307.99999893</v>
      </c>
    </row>
    <row r="25" spans="1:3" ht="15" x14ac:dyDescent="0.25">
      <c r="A25" s="37" t="s">
        <v>233</v>
      </c>
      <c r="B25" s="52">
        <v>20553518.920000002</v>
      </c>
      <c r="C25" s="52">
        <f>[2]Sheet!$J$50+40000000</f>
        <v>40256045.380000003</v>
      </c>
    </row>
    <row r="26" spans="1:3" ht="15" x14ac:dyDescent="0.25">
      <c r="A26" s="37" t="s">
        <v>231</v>
      </c>
      <c r="B26" s="52">
        <v>14809100.76</v>
      </c>
      <c r="C26" s="52">
        <f>11300998.97+[2]Sheet!$J$13</f>
        <v>19861729.100000001</v>
      </c>
    </row>
    <row r="27" spans="1:3" ht="15" x14ac:dyDescent="0.25">
      <c r="A27" s="37" t="s">
        <v>236</v>
      </c>
      <c r="B27" s="52">
        <v>78237710.090000004</v>
      </c>
      <c r="C27" s="52">
        <f>60461281.08+[2]Sheet!$J$11-22437912.1100011-40000000</f>
        <v>44655887.739998892</v>
      </c>
    </row>
    <row r="28" spans="1:3" ht="15" x14ac:dyDescent="0.25">
      <c r="A28" s="37" t="s">
        <v>237</v>
      </c>
      <c r="B28" s="52">
        <v>31307794.57</v>
      </c>
      <c r="C28" s="52">
        <f>21420893.17+[2]Sheet!$J$12</f>
        <v>29663079.460000001</v>
      </c>
    </row>
    <row r="29" spans="1:3" ht="15" x14ac:dyDescent="0.25">
      <c r="A29" s="37" t="s">
        <v>232</v>
      </c>
      <c r="B29" s="52">
        <f>100444201.14+1306640325.3</f>
        <v>1407084526.4400001</v>
      </c>
      <c r="C29" s="52">
        <f>8362220+[2]Sheet!$O$43</f>
        <v>211692566.31999999</v>
      </c>
    </row>
    <row r="30" spans="1:3" ht="15" x14ac:dyDescent="0.25">
      <c r="A30" s="23" t="s">
        <v>148</v>
      </c>
      <c r="B30" s="52">
        <v>253889308.28</v>
      </c>
      <c r="C30" s="52">
        <v>54405989</v>
      </c>
    </row>
    <row r="31" spans="1:3" ht="15" x14ac:dyDescent="0.25">
      <c r="A31" s="23" t="s">
        <v>149</v>
      </c>
      <c r="B31" s="52">
        <v>39153848</v>
      </c>
      <c r="C31" s="52">
        <v>11749384</v>
      </c>
    </row>
    <row r="32" spans="1:3" ht="15" x14ac:dyDescent="0.25">
      <c r="A32" s="23" t="s">
        <v>29</v>
      </c>
      <c r="B32" s="52">
        <v>76169403.219999999</v>
      </c>
      <c r="C32" s="52">
        <f>1014019+[2]Sheet!$J$31+[2]Sheet!$J$21</f>
        <v>19928080.77</v>
      </c>
    </row>
    <row r="33" spans="1:3" ht="15" x14ac:dyDescent="0.25">
      <c r="A33" s="23" t="s">
        <v>150</v>
      </c>
      <c r="B33" s="52">
        <v>238088805.56</v>
      </c>
      <c r="C33" s="52">
        <v>158030750</v>
      </c>
    </row>
    <row r="34" spans="1:3" ht="15" x14ac:dyDescent="0.25">
      <c r="A34" s="23" t="s">
        <v>151</v>
      </c>
      <c r="B34" s="52">
        <v>46965532.939999998</v>
      </c>
      <c r="C34" s="52">
        <v>21670892</v>
      </c>
    </row>
    <row r="35" spans="1:3" ht="15" x14ac:dyDescent="0.25">
      <c r="A35" s="23" t="s">
        <v>152</v>
      </c>
      <c r="B35" s="52">
        <v>1319950</v>
      </c>
      <c r="C35" s="52">
        <v>10312519</v>
      </c>
    </row>
    <row r="36" spans="1:3" ht="15" x14ac:dyDescent="0.25">
      <c r="A36" s="23" t="s">
        <v>153</v>
      </c>
      <c r="B36" s="52">
        <v>5827330</v>
      </c>
      <c r="C36" s="52">
        <v>5328236</v>
      </c>
    </row>
    <row r="37" spans="1:3" ht="15" x14ac:dyDescent="0.25">
      <c r="A37" s="23" t="s">
        <v>25</v>
      </c>
      <c r="B37" s="52">
        <v>27930</v>
      </c>
      <c r="C37" s="52"/>
    </row>
    <row r="38" spans="1:3" ht="15" x14ac:dyDescent="0.25">
      <c r="A38" s="23" t="s">
        <v>154</v>
      </c>
      <c r="B38" s="52">
        <v>54149190</v>
      </c>
      <c r="C38" s="52">
        <v>42949650</v>
      </c>
    </row>
    <row r="39" spans="1:3" ht="15" x14ac:dyDescent="0.25">
      <c r="A39" s="23" t="s">
        <v>155</v>
      </c>
      <c r="B39" s="52">
        <v>176109592.94</v>
      </c>
      <c r="C39" s="53">
        <v>104083753.68000001</v>
      </c>
    </row>
    <row r="40" spans="1:3" ht="15" x14ac:dyDescent="0.25">
      <c r="A40" s="23" t="s">
        <v>26</v>
      </c>
      <c r="B40" s="52">
        <v>38385480</v>
      </c>
      <c r="C40" s="52">
        <v>24289325</v>
      </c>
    </row>
    <row r="41" spans="1:3" ht="15" x14ac:dyDescent="0.25">
      <c r="A41" s="23" t="s">
        <v>156</v>
      </c>
      <c r="B41" s="52">
        <v>9194830</v>
      </c>
      <c r="C41" s="52">
        <v>39645770.770000003</v>
      </c>
    </row>
    <row r="42" spans="1:3" ht="15" x14ac:dyDescent="0.25">
      <c r="A42" s="23" t="s">
        <v>157</v>
      </c>
      <c r="B42" s="52">
        <v>120541254.59</v>
      </c>
      <c r="C42" s="52">
        <v>225000</v>
      </c>
    </row>
    <row r="43" spans="1:3" ht="15" x14ac:dyDescent="0.25">
      <c r="A43" s="23" t="s">
        <v>27</v>
      </c>
      <c r="B43" s="52">
        <v>1402977</v>
      </c>
      <c r="C43" s="52">
        <v>1855830</v>
      </c>
    </row>
    <row r="44" spans="1:3" ht="15" x14ac:dyDescent="0.25">
      <c r="A44" s="23" t="s">
        <v>158</v>
      </c>
      <c r="B44" s="52">
        <v>39765323.539999999</v>
      </c>
      <c r="C44" s="52">
        <v>8733792</v>
      </c>
    </row>
    <row r="45" spans="1:3" ht="15" x14ac:dyDescent="0.25">
      <c r="A45" s="23" t="s">
        <v>159</v>
      </c>
      <c r="B45" s="52">
        <v>182419250</v>
      </c>
      <c r="C45" s="52">
        <f>61672175+[2]Sheet!$J$57</f>
        <v>62708025</v>
      </c>
    </row>
    <row r="46" spans="1:3" ht="15" x14ac:dyDescent="0.25">
      <c r="A46" s="23" t="s">
        <v>28</v>
      </c>
      <c r="B46" s="52">
        <v>28585398.739999998</v>
      </c>
      <c r="C46" s="52">
        <v>4569418.01</v>
      </c>
    </row>
    <row r="47" spans="1:3" x14ac:dyDescent="0.2">
      <c r="A47" s="16" t="s">
        <v>69</v>
      </c>
      <c r="B47" s="14">
        <f>SUM(B48:B49)</f>
        <v>2013100571.0999999</v>
      </c>
      <c r="C47" s="14">
        <f>SUM(C48:C49)</f>
        <v>1058861710.67</v>
      </c>
    </row>
    <row r="48" spans="1:3" ht="15" x14ac:dyDescent="0.25">
      <c r="A48" s="38" t="s">
        <v>239</v>
      </c>
      <c r="B48" s="52">
        <v>2013100571.0999999</v>
      </c>
      <c r="C48" s="52">
        <v>1057728892.86</v>
      </c>
    </row>
    <row r="49" spans="1:3" ht="15" x14ac:dyDescent="0.25">
      <c r="A49" s="38" t="s">
        <v>240</v>
      </c>
      <c r="B49" s="52">
        <v>0</v>
      </c>
      <c r="C49" s="52">
        <v>1132817.81</v>
      </c>
    </row>
    <row r="50" spans="1:3" x14ac:dyDescent="0.2">
      <c r="A50" s="16" t="s">
        <v>31</v>
      </c>
      <c r="B50" s="14">
        <f>SUM(B51:B53)</f>
        <v>26587828.620000001</v>
      </c>
      <c r="C50" s="14">
        <f>SUM(C51:C53)</f>
        <v>8404302.6699999999</v>
      </c>
    </row>
    <row r="51" spans="1:3" ht="15" x14ac:dyDescent="0.25">
      <c r="A51" s="23" t="s">
        <v>160</v>
      </c>
      <c r="B51" s="52">
        <v>20000000</v>
      </c>
      <c r="C51" s="52">
        <v>0</v>
      </c>
    </row>
    <row r="52" spans="1:3" ht="15" x14ac:dyDescent="0.25">
      <c r="A52" s="23" t="s">
        <v>161</v>
      </c>
      <c r="B52" s="52">
        <v>6000000</v>
      </c>
      <c r="C52" s="52">
        <v>2000000</v>
      </c>
    </row>
    <row r="53" spans="1:3" ht="15" x14ac:dyDescent="0.25">
      <c r="A53" s="23" t="s">
        <v>30</v>
      </c>
      <c r="B53" s="52">
        <v>587828.62</v>
      </c>
      <c r="C53" s="52">
        <v>6404302.6699999999</v>
      </c>
    </row>
    <row r="54" spans="1:3" x14ac:dyDescent="0.2">
      <c r="A54" s="16" t="s">
        <v>247</v>
      </c>
      <c r="B54" s="14">
        <f>SUM(B55:B58)</f>
        <v>-828506472.29999995</v>
      </c>
      <c r="C54" s="14">
        <f>SUM(C55:C58)</f>
        <v>-119797155.94</v>
      </c>
    </row>
    <row r="55" spans="1:3" ht="26.25" x14ac:dyDescent="0.25">
      <c r="A55" s="23" t="s">
        <v>162</v>
      </c>
      <c r="B55" s="52"/>
      <c r="C55" s="52"/>
    </row>
    <row r="56" spans="1:3" ht="26.25" x14ac:dyDescent="0.25">
      <c r="A56" s="23" t="s">
        <v>163</v>
      </c>
      <c r="B56" s="52"/>
      <c r="C56" s="52"/>
    </row>
    <row r="57" spans="1:3" ht="26.25" x14ac:dyDescent="0.25">
      <c r="A57" s="23" t="s">
        <v>164</v>
      </c>
      <c r="B57" s="52"/>
      <c r="C57" s="52"/>
    </row>
    <row r="58" spans="1:3" ht="15" x14ac:dyDescent="0.25">
      <c r="A58" s="23" t="s">
        <v>165</v>
      </c>
      <c r="B58" s="52">
        <v>-828506472.29999995</v>
      </c>
      <c r="C58" s="52">
        <v>-119797155.94</v>
      </c>
    </row>
    <row r="59" spans="1:3" ht="15" x14ac:dyDescent="0.25">
      <c r="A59" s="16" t="s">
        <v>70</v>
      </c>
      <c r="B59" s="52"/>
      <c r="C59" s="52"/>
    </row>
    <row r="60" spans="1:3" ht="15" x14ac:dyDescent="0.25">
      <c r="A60" s="16" t="s">
        <v>71</v>
      </c>
      <c r="B60" s="52">
        <v>0</v>
      </c>
      <c r="C60" s="52">
        <v>0</v>
      </c>
    </row>
    <row r="61" spans="1:3" x14ac:dyDescent="0.2">
      <c r="A61" s="16" t="s">
        <v>166</v>
      </c>
      <c r="B61" s="14">
        <f>SUM(B62:B66)</f>
        <v>0</v>
      </c>
      <c r="C61" s="14">
        <f>SUM(C62:C66)</f>
        <v>0</v>
      </c>
    </row>
    <row r="62" spans="1:3" ht="15" x14ac:dyDescent="0.25">
      <c r="A62" s="23" t="s">
        <v>167</v>
      </c>
      <c r="B62" s="52">
        <v>0</v>
      </c>
      <c r="C62" s="52">
        <v>0</v>
      </c>
    </row>
    <row r="63" spans="1:3" ht="15" x14ac:dyDescent="0.25">
      <c r="A63" s="23" t="s">
        <v>168</v>
      </c>
      <c r="B63" s="52">
        <v>0</v>
      </c>
      <c r="C63" s="52"/>
    </row>
    <row r="64" spans="1:3" ht="15" x14ac:dyDescent="0.25">
      <c r="A64" s="23" t="s">
        <v>169</v>
      </c>
      <c r="B64" s="52">
        <v>0</v>
      </c>
      <c r="C64" s="52">
        <v>0</v>
      </c>
    </row>
    <row r="65" spans="1:4" ht="15" x14ac:dyDescent="0.25">
      <c r="A65" s="23" t="s">
        <v>170</v>
      </c>
      <c r="B65" s="52">
        <v>0</v>
      </c>
      <c r="C65" s="52">
        <v>0</v>
      </c>
    </row>
    <row r="66" spans="1:4" ht="15" x14ac:dyDescent="0.25">
      <c r="A66" s="23" t="s">
        <v>171</v>
      </c>
      <c r="B66" s="52">
        <v>0</v>
      </c>
      <c r="C66" s="52"/>
    </row>
    <row r="67" spans="1:4" x14ac:dyDescent="0.2">
      <c r="A67" s="16" t="s">
        <v>32</v>
      </c>
      <c r="B67" s="14">
        <f>B4+B12+B13+B14+B17+B18-B19-B47-B50+B54+B59+B60+B61</f>
        <v>9745580149.5799999</v>
      </c>
      <c r="C67" s="14">
        <f>C4+C12+C13+C14+C17+C18-C19-C47-C50+C54+C59+C60+C61</f>
        <v>1784675660.96</v>
      </c>
    </row>
    <row r="68" spans="1:4" ht="15" x14ac:dyDescent="0.25">
      <c r="A68" s="23" t="s">
        <v>33</v>
      </c>
      <c r="B68" s="52">
        <v>515409828.72000003</v>
      </c>
      <c r="C68" s="52">
        <v>145304171.34999999</v>
      </c>
    </row>
    <row r="69" spans="1:4" x14ac:dyDescent="0.2">
      <c r="A69" s="16" t="s">
        <v>34</v>
      </c>
      <c r="B69" s="14">
        <f>+B67-B68</f>
        <v>9230170320.8600006</v>
      </c>
      <c r="C69" s="14">
        <f>+C67-C68</f>
        <v>1639371489.6100001</v>
      </c>
    </row>
    <row r="70" spans="1:4" ht="15" x14ac:dyDescent="0.25">
      <c r="A70" s="17" t="s">
        <v>172</v>
      </c>
      <c r="B70" s="52">
        <v>0</v>
      </c>
      <c r="C70" s="52">
        <v>0</v>
      </c>
    </row>
    <row r="71" spans="1:4" x14ac:dyDescent="0.2">
      <c r="A71" s="16" t="s">
        <v>35</v>
      </c>
      <c r="B71" s="14">
        <f>+B69+B70</f>
        <v>9230170320.8600006</v>
      </c>
      <c r="C71" s="14">
        <f>+C69+C70</f>
        <v>1639371489.6100001</v>
      </c>
    </row>
    <row r="72" spans="1:4" x14ac:dyDescent="0.2">
      <c r="A72" s="16" t="s">
        <v>72</v>
      </c>
      <c r="B72" s="14">
        <f>SUM(B73:B75)</f>
        <v>0</v>
      </c>
      <c r="C72" s="14">
        <f>SUM(C73:C75)</f>
        <v>0</v>
      </c>
    </row>
    <row r="73" spans="1:4" ht="15" x14ac:dyDescent="0.25">
      <c r="A73" s="23" t="s">
        <v>73</v>
      </c>
      <c r="B73" s="52">
        <v>0</v>
      </c>
      <c r="C73" s="52">
        <v>0</v>
      </c>
    </row>
    <row r="74" spans="1:4" ht="15" x14ac:dyDescent="0.25">
      <c r="A74" s="23" t="s">
        <v>173</v>
      </c>
      <c r="B74" s="52">
        <v>0</v>
      </c>
      <c r="C74" s="52">
        <v>0</v>
      </c>
    </row>
    <row r="75" spans="1:4" ht="15" x14ac:dyDescent="0.25">
      <c r="A75" s="23" t="s">
        <v>174</v>
      </c>
      <c r="B75" s="52">
        <v>0</v>
      </c>
      <c r="C75" s="52">
        <v>0</v>
      </c>
    </row>
    <row r="76" spans="1:4" x14ac:dyDescent="0.2">
      <c r="A76" s="16" t="s">
        <v>74</v>
      </c>
      <c r="B76" s="14">
        <f>+B71+B72</f>
        <v>9230170320.8600006</v>
      </c>
      <c r="C76" s="14">
        <f>+C71+C72</f>
        <v>1639371489.6100001</v>
      </c>
    </row>
    <row r="77" spans="1:4" x14ac:dyDescent="0.2">
      <c r="A77" s="16" t="s">
        <v>75</v>
      </c>
      <c r="B77" s="14">
        <f>+B76/B78</f>
        <v>673.98679644506637</v>
      </c>
      <c r="C77" s="14">
        <f>+C76/C78</f>
        <v>119.70686347667228</v>
      </c>
    </row>
    <row r="78" spans="1:4" ht="15" x14ac:dyDescent="0.25">
      <c r="A78" s="16" t="s">
        <v>175</v>
      </c>
      <c r="B78" s="52">
        <v>13694883</v>
      </c>
      <c r="C78" s="52">
        <v>13694883</v>
      </c>
    </row>
    <row r="80" spans="1:4" x14ac:dyDescent="0.2">
      <c r="B80" s="42" t="s">
        <v>252</v>
      </c>
      <c r="D80" s="11"/>
    </row>
    <row r="81" spans="1:3" x14ac:dyDescent="0.2">
      <c r="A81" s="45" t="s">
        <v>250</v>
      </c>
      <c r="B81" s="44"/>
      <c r="C81" s="43" t="s">
        <v>267</v>
      </c>
    </row>
    <row r="82" spans="1:3" x14ac:dyDescent="0.2">
      <c r="C82" s="11"/>
    </row>
    <row r="83" spans="1:3" x14ac:dyDescent="0.2">
      <c r="A83" s="45" t="s">
        <v>251</v>
      </c>
      <c r="B83" s="45"/>
      <c r="C83" s="43" t="s">
        <v>270</v>
      </c>
    </row>
  </sheetData>
  <sheetProtection algorithmName="SHA-512" hashValue="BLQ6moi2e/ZFWDCql0UIjX4IqZSWFe3znyat/4+uI9rnO+wd1USpH3VKlch+L3k+hx+TjIGTbbIMtPTR2m1Xug==" saltValue="G4sNsbCjGkadtCmeC1W5Dg==" spinCount="100000" sheet="1"/>
  <dataValidations count="1">
    <dataValidation type="decimal" operator="notEqual" allowBlank="1" showErrorMessage="1" error="This is an invalid value!" sqref="B21:C23 B55:C60 B15:C18 B62:C71 B48:C49 B73:C77 B51:C53 B5:C13 C38 B25:C37 B40:C46 B38:B39" xr:uid="{00000000-0002-0000-0100-000000000000}">
      <formula1>1E+25</formula1>
      <formula2>0</formula2>
    </dataValidation>
  </dataValidations>
  <pageMargins left="0.75" right="0.3" top="0.3" bottom="0.3" header="0.3" footer="0.3"/>
  <pageSetup paperSize="9" scale="95" orientation="portrait" r:id="rId1"/>
  <ignoredErrors>
    <ignoredError sqref="B69:C69 B71:C71 C7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25"/>
  <sheetViews>
    <sheetView workbookViewId="0">
      <selection activeCell="G26" sqref="A1:XFD1048576"/>
    </sheetView>
  </sheetViews>
  <sheetFormatPr defaultColWidth="11.42578125" defaultRowHeight="12.75" x14ac:dyDescent="0.2"/>
  <cols>
    <col min="1" max="1" width="46.140625" style="3" customWidth="1"/>
    <col min="2" max="3" width="15.140625" style="3" customWidth="1"/>
    <col min="4" max="5" width="16" style="3" customWidth="1"/>
    <col min="6" max="6" width="15.7109375" style="3" customWidth="1"/>
    <col min="7" max="8" width="16.42578125" style="3" customWidth="1"/>
    <col min="9" max="9" width="15.42578125" style="3" customWidth="1"/>
    <col min="10" max="10" width="15.85546875" style="3" customWidth="1"/>
    <col min="11" max="16384" width="11.42578125" style="3"/>
  </cols>
  <sheetData>
    <row r="2" spans="1:10" x14ac:dyDescent="0.2">
      <c r="A2" s="5" t="s">
        <v>36</v>
      </c>
    </row>
    <row r="3" spans="1:10" ht="44.25" customHeight="1" x14ac:dyDescent="0.2">
      <c r="A3" s="2" t="s">
        <v>0</v>
      </c>
      <c r="B3" s="2" t="s">
        <v>76</v>
      </c>
      <c r="C3" s="2" t="s">
        <v>17</v>
      </c>
      <c r="D3" s="2" t="s">
        <v>18</v>
      </c>
      <c r="E3" s="2" t="s">
        <v>230</v>
      </c>
      <c r="F3" s="2" t="s">
        <v>62</v>
      </c>
      <c r="G3" s="2" t="s">
        <v>37</v>
      </c>
      <c r="H3" s="2" t="s">
        <v>63</v>
      </c>
      <c r="I3" s="2" t="s">
        <v>38</v>
      </c>
      <c r="J3" s="2" t="s">
        <v>39</v>
      </c>
    </row>
    <row r="4" spans="1:10" ht="15" x14ac:dyDescent="0.25">
      <c r="A4" s="7" t="s">
        <v>40</v>
      </c>
      <c r="B4" s="52">
        <v>9326763118.3199997</v>
      </c>
      <c r="C4" s="52">
        <v>0</v>
      </c>
      <c r="D4" s="52">
        <v>34472.68</v>
      </c>
      <c r="E4" s="52">
        <v>0</v>
      </c>
      <c r="F4" s="52">
        <v>3821437107.8200002</v>
      </c>
      <c r="G4" s="52">
        <v>0</v>
      </c>
      <c r="H4" s="52">
        <v>0</v>
      </c>
      <c r="I4" s="52">
        <v>16309610913.389999</v>
      </c>
      <c r="J4" s="8">
        <f>SUM(B4:I4)</f>
        <v>29457845612.209999</v>
      </c>
    </row>
    <row r="5" spans="1:10" ht="26.25" x14ac:dyDescent="0.25">
      <c r="A5" s="26" t="s">
        <v>77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  <c r="G5" s="52">
        <v>0</v>
      </c>
      <c r="H5" s="52"/>
      <c r="I5" s="52">
        <v>0</v>
      </c>
      <c r="J5" s="8">
        <f t="shared" ref="J5:J10" si="0">SUM(B5:I5)</f>
        <v>0</v>
      </c>
    </row>
    <row r="6" spans="1:10" ht="15" x14ac:dyDescent="0.25">
      <c r="A6" s="7" t="s">
        <v>41</v>
      </c>
      <c r="B6" s="52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8">
        <f t="shared" si="0"/>
        <v>0</v>
      </c>
    </row>
    <row r="7" spans="1:10" ht="15" x14ac:dyDescent="0.25">
      <c r="A7" s="6" t="s">
        <v>35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/>
      <c r="J7" s="8">
        <f t="shared" si="0"/>
        <v>0</v>
      </c>
    </row>
    <row r="8" spans="1:10" ht="15" x14ac:dyDescent="0.25">
      <c r="A8" s="6" t="s">
        <v>72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8">
        <f t="shared" si="0"/>
        <v>0</v>
      </c>
    </row>
    <row r="9" spans="1:10" ht="15" x14ac:dyDescent="0.25">
      <c r="A9" s="6" t="s">
        <v>78</v>
      </c>
      <c r="B9" s="52"/>
      <c r="C9" s="52">
        <v>0</v>
      </c>
      <c r="D9" s="52"/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8">
        <f t="shared" si="0"/>
        <v>0</v>
      </c>
    </row>
    <row r="10" spans="1:10" ht="15" x14ac:dyDescent="0.25">
      <c r="A10" s="6" t="s">
        <v>176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8">
        <f t="shared" si="0"/>
        <v>0</v>
      </c>
    </row>
    <row r="11" spans="1:10" ht="15" x14ac:dyDescent="0.25">
      <c r="A11" s="6" t="s">
        <v>79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8">
        <f>SUM(B11:I11)</f>
        <v>0</v>
      </c>
    </row>
    <row r="12" spans="1:10" x14ac:dyDescent="0.2">
      <c r="A12" s="7" t="s">
        <v>40</v>
      </c>
      <c r="B12" s="8">
        <f>SUM(B4:B11)</f>
        <v>9326763118.3199997</v>
      </c>
      <c r="C12" s="8">
        <f t="shared" ref="C12:I12" si="1">SUM(C4:C11)</f>
        <v>0</v>
      </c>
      <c r="D12" s="8">
        <f t="shared" si="1"/>
        <v>34472.68</v>
      </c>
      <c r="E12" s="8">
        <f t="shared" si="1"/>
        <v>0</v>
      </c>
      <c r="F12" s="8">
        <f t="shared" si="1"/>
        <v>3821437107.8200002</v>
      </c>
      <c r="G12" s="8">
        <f t="shared" si="1"/>
        <v>0</v>
      </c>
      <c r="H12" s="8">
        <f t="shared" si="1"/>
        <v>0</v>
      </c>
      <c r="I12" s="8">
        <f t="shared" si="1"/>
        <v>16309610913.389999</v>
      </c>
      <c r="J12" s="8">
        <f>SUM(J4:J11)</f>
        <v>29457845612.209999</v>
      </c>
    </row>
    <row r="13" spans="1:10" ht="26.25" x14ac:dyDescent="0.25">
      <c r="A13" s="26" t="s">
        <v>77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8">
        <f>SUM(B13:I13)</f>
        <v>0</v>
      </c>
    </row>
    <row r="14" spans="1:10" ht="15" x14ac:dyDescent="0.25">
      <c r="A14" s="7" t="s">
        <v>41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3">
        <v>0</v>
      </c>
      <c r="J14" s="9">
        <f t="shared" ref="J14:J19" si="2">SUM(B14:I14)</f>
        <v>0</v>
      </c>
    </row>
    <row r="15" spans="1:10" ht="15" x14ac:dyDescent="0.25">
      <c r="A15" s="6" t="s">
        <v>35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f>IS!C76</f>
        <v>1639371489.6100001</v>
      </c>
      <c r="J15" s="9">
        <f>SUM(B15:I15)</f>
        <v>1639371489.6100001</v>
      </c>
    </row>
    <row r="16" spans="1:10" ht="15" x14ac:dyDescent="0.25">
      <c r="A16" s="6" t="s">
        <v>72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9">
        <f t="shared" si="2"/>
        <v>0</v>
      </c>
    </row>
    <row r="17" spans="1:11" ht="15" x14ac:dyDescent="0.25">
      <c r="A17" s="6" t="s">
        <v>78</v>
      </c>
      <c r="B17" s="52">
        <v>0</v>
      </c>
      <c r="C17" s="52">
        <v>0</v>
      </c>
      <c r="D17" s="52">
        <v>0</v>
      </c>
      <c r="E17" s="52">
        <v>0</v>
      </c>
      <c r="F17" s="52">
        <v>6952254544.5699997</v>
      </c>
      <c r="G17" s="52">
        <v>0</v>
      </c>
      <c r="H17" s="52">
        <v>0</v>
      </c>
      <c r="I17" s="52">
        <v>0</v>
      </c>
      <c r="J17" s="9">
        <f t="shared" si="2"/>
        <v>6952254544.5699997</v>
      </c>
    </row>
    <row r="18" spans="1:11" ht="15" x14ac:dyDescent="0.25">
      <c r="A18" s="6" t="s">
        <v>176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-1733318026</v>
      </c>
      <c r="I18" s="53">
        <v>0</v>
      </c>
      <c r="J18" s="9">
        <f>SUM(B18:H18)</f>
        <v>-1733318026</v>
      </c>
    </row>
    <row r="19" spans="1:11" ht="15" x14ac:dyDescent="0.25">
      <c r="A19" s="6" t="s">
        <v>79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9">
        <f t="shared" si="2"/>
        <v>0</v>
      </c>
    </row>
    <row r="20" spans="1:11" x14ac:dyDescent="0.2">
      <c r="A20" s="7" t="s">
        <v>40</v>
      </c>
      <c r="B20" s="8">
        <f t="shared" ref="B20:I20" si="3">SUM(B12:B19)</f>
        <v>9326763118.3199997</v>
      </c>
      <c r="C20" s="8">
        <f t="shared" si="3"/>
        <v>0</v>
      </c>
      <c r="D20" s="8">
        <f t="shared" si="3"/>
        <v>34472.68</v>
      </c>
      <c r="E20" s="8">
        <f t="shared" si="3"/>
        <v>0</v>
      </c>
      <c r="F20" s="8">
        <f t="shared" si="3"/>
        <v>10773691652.389999</v>
      </c>
      <c r="G20" s="8">
        <f t="shared" si="3"/>
        <v>0</v>
      </c>
      <c r="H20" s="8">
        <f t="shared" si="3"/>
        <v>-1733318026</v>
      </c>
      <c r="I20" s="8">
        <f t="shared" si="3"/>
        <v>17948982403</v>
      </c>
      <c r="J20" s="8">
        <f>SUM(J12:J19)</f>
        <v>36316153620.389999</v>
      </c>
      <c r="K20" s="11"/>
    </row>
    <row r="22" spans="1:11" x14ac:dyDescent="0.2">
      <c r="B22" s="42" t="s">
        <v>252</v>
      </c>
      <c r="D22" s="11"/>
    </row>
    <row r="23" spans="1:11" x14ac:dyDescent="0.2">
      <c r="A23" s="55" t="s">
        <v>250</v>
      </c>
      <c r="B23" s="55"/>
      <c r="C23" s="55"/>
      <c r="D23" s="43" t="s">
        <v>267</v>
      </c>
    </row>
    <row r="24" spans="1:11" x14ac:dyDescent="0.2">
      <c r="D24" s="11"/>
    </row>
    <row r="25" spans="1:11" x14ac:dyDescent="0.2">
      <c r="A25" s="55" t="s">
        <v>251</v>
      </c>
      <c r="B25" s="55"/>
      <c r="C25" s="55"/>
      <c r="D25" s="43" t="s">
        <v>270</v>
      </c>
    </row>
  </sheetData>
  <sheetProtection algorithmName="SHA-512" hashValue="O0i7ApCApH202OX8lCGv7jfayD2PerOfhckGXsfwiQRfqqK1xEIeqhEpdsb0VpZfoPlIaQSKNwGkPXya8uzTNA==" saltValue="BXU4F7YJtkkoUHeKObVr9w==" spinCount="100000" sheet="1"/>
  <mergeCells count="2">
    <mergeCell ref="A23:C23"/>
    <mergeCell ref="A25:C25"/>
  </mergeCells>
  <dataValidations count="1">
    <dataValidation type="decimal" operator="notEqual" allowBlank="1" showErrorMessage="1" error="This is an invalid value!" sqref="B4:I11" xr:uid="{00000000-0002-0000-0200-000000000000}">
      <formula1>1E+25</formula1>
      <formula2>0</formula2>
    </dataValidation>
  </dataValidations>
  <pageMargins left="0.75" right="0.3" top="0.5" bottom="0.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1"/>
  <sheetViews>
    <sheetView topLeftCell="A35" zoomScaleNormal="100" workbookViewId="0">
      <selection activeCell="B66" sqref="A1:XFD1048576"/>
    </sheetView>
  </sheetViews>
  <sheetFormatPr defaultColWidth="11.42578125" defaultRowHeight="12.75" x14ac:dyDescent="0.2"/>
  <cols>
    <col min="1" max="1" width="56.7109375" style="3" customWidth="1"/>
    <col min="2" max="2" width="19" style="3" customWidth="1"/>
    <col min="3" max="3" width="19.5703125" style="3" customWidth="1"/>
    <col min="4" max="4" width="20.140625" style="3" customWidth="1"/>
    <col min="5" max="16384" width="11.42578125" style="3"/>
  </cols>
  <sheetData>
    <row r="2" spans="1:3" x14ac:dyDescent="0.2">
      <c r="A2" s="5" t="s">
        <v>42</v>
      </c>
      <c r="B2" s="5"/>
    </row>
    <row r="3" spans="1:3" x14ac:dyDescent="0.2">
      <c r="A3" s="27"/>
      <c r="B3" s="25" t="s">
        <v>141</v>
      </c>
      <c r="C3" s="21" t="s">
        <v>142</v>
      </c>
    </row>
    <row r="4" spans="1:3" x14ac:dyDescent="0.2">
      <c r="A4" s="56" t="s">
        <v>177</v>
      </c>
      <c r="B4" s="57"/>
      <c r="C4" s="58"/>
    </row>
    <row r="5" spans="1:3" x14ac:dyDescent="0.2">
      <c r="A5" s="28" t="s">
        <v>178</v>
      </c>
      <c r="B5" s="29">
        <f>SUM(B6:B14)</f>
        <v>15710870750.409998</v>
      </c>
      <c r="C5" s="29">
        <f>SUM(C6:C14)</f>
        <v>17785889616.550003</v>
      </c>
    </row>
    <row r="6" spans="1:3" ht="15" x14ac:dyDescent="0.25">
      <c r="A6" s="30" t="s">
        <v>179</v>
      </c>
      <c r="B6" s="52">
        <v>8854115109.2600002</v>
      </c>
      <c r="C6" s="52">
        <v>2467867623.6500015</v>
      </c>
    </row>
    <row r="7" spans="1:3" ht="15" x14ac:dyDescent="0.25">
      <c r="A7" s="30" t="s">
        <v>180</v>
      </c>
      <c r="B7" s="52">
        <v>0</v>
      </c>
      <c r="C7" s="52">
        <v>0</v>
      </c>
    </row>
    <row r="8" spans="1:3" ht="15" x14ac:dyDescent="0.25">
      <c r="A8" s="30" t="s">
        <v>43</v>
      </c>
      <c r="B8" s="52">
        <v>10961274</v>
      </c>
      <c r="C8" s="52">
        <v>4166018</v>
      </c>
    </row>
    <row r="9" spans="1:3" ht="15" x14ac:dyDescent="0.25">
      <c r="A9" s="30" t="s">
        <v>181</v>
      </c>
      <c r="B9" s="52">
        <v>9404663.9100000001</v>
      </c>
      <c r="C9" s="52">
        <v>0</v>
      </c>
    </row>
    <row r="10" spans="1:3" ht="15" x14ac:dyDescent="0.25">
      <c r="A10" s="30" t="s">
        <v>182</v>
      </c>
      <c r="B10" s="52">
        <v>0</v>
      </c>
      <c r="C10" s="52">
        <v>0</v>
      </c>
    </row>
    <row r="11" spans="1:3" ht="15" x14ac:dyDescent="0.25">
      <c r="A11" s="30" t="s">
        <v>183</v>
      </c>
      <c r="B11" s="52">
        <v>4586511674.4700003</v>
      </c>
      <c r="C11" s="52">
        <v>10535963699.65</v>
      </c>
    </row>
    <row r="12" spans="1:3" ht="15" x14ac:dyDescent="0.25">
      <c r="A12" s="30" t="s">
        <v>184</v>
      </c>
      <c r="B12" s="52">
        <v>1101363038.55</v>
      </c>
      <c r="C12" s="52">
        <v>711344533.25</v>
      </c>
    </row>
    <row r="13" spans="1:3" ht="15" x14ac:dyDescent="0.25">
      <c r="A13" s="30" t="s">
        <v>185</v>
      </c>
      <c r="B13" s="52">
        <v>1093466202.75</v>
      </c>
      <c r="C13" s="52">
        <v>895916498.61000001</v>
      </c>
    </row>
    <row r="14" spans="1:3" ht="15" x14ac:dyDescent="0.25">
      <c r="A14" s="30" t="s">
        <v>186</v>
      </c>
      <c r="B14" s="52">
        <v>55048787.469999999</v>
      </c>
      <c r="C14" s="52">
        <v>3170631243.3899999</v>
      </c>
    </row>
    <row r="15" spans="1:3" x14ac:dyDescent="0.2">
      <c r="A15" s="28" t="s">
        <v>187</v>
      </c>
      <c r="B15" s="29">
        <f>SUM(B16:B26)</f>
        <v>-8275652672.1400003</v>
      </c>
      <c r="C15" s="29">
        <f>SUM(C16:C26)</f>
        <v>-7858096613.6000004</v>
      </c>
    </row>
    <row r="16" spans="1:3" ht="15" x14ac:dyDescent="0.25">
      <c r="A16" s="30" t="s">
        <v>188</v>
      </c>
      <c r="B16" s="52">
        <v>0</v>
      </c>
      <c r="C16" s="52">
        <v>0</v>
      </c>
    </row>
    <row r="17" spans="1:3" ht="15" x14ac:dyDescent="0.25">
      <c r="A17" s="30" t="s">
        <v>189</v>
      </c>
      <c r="B17" s="52">
        <v>-1651751695.2</v>
      </c>
      <c r="C17" s="52">
        <v>-973931698.96000004</v>
      </c>
    </row>
    <row r="18" spans="1:3" ht="15" x14ac:dyDescent="0.25">
      <c r="A18" s="30" t="s">
        <v>190</v>
      </c>
      <c r="B18" s="52">
        <v>-412306807.30000001</v>
      </c>
      <c r="C18" s="52">
        <v>-277611267.94</v>
      </c>
    </row>
    <row r="19" spans="1:3" ht="15" x14ac:dyDescent="0.25">
      <c r="A19" s="30" t="s">
        <v>191</v>
      </c>
      <c r="B19" s="52">
        <v>-2846323291.52</v>
      </c>
      <c r="C19" s="52">
        <v>-4153138090.54</v>
      </c>
    </row>
    <row r="20" spans="1:3" ht="15" x14ac:dyDescent="0.25">
      <c r="A20" s="30" t="s">
        <v>192</v>
      </c>
      <c r="B20" s="52">
        <v>-16497604.09</v>
      </c>
      <c r="C20" s="52">
        <v>0</v>
      </c>
    </row>
    <row r="21" spans="1:3" ht="15" x14ac:dyDescent="0.25">
      <c r="A21" s="30" t="s">
        <v>193</v>
      </c>
      <c r="B21" s="52">
        <v>-30279876</v>
      </c>
      <c r="C21" s="52">
        <v>-18345011</v>
      </c>
    </row>
    <row r="22" spans="1:3" ht="15" x14ac:dyDescent="0.25">
      <c r="A22" s="30" t="s">
        <v>194</v>
      </c>
      <c r="B22" s="52">
        <v>-1589555986.3800001</v>
      </c>
      <c r="C22" s="52">
        <v>-1528325446.95</v>
      </c>
    </row>
    <row r="23" spans="1:3" ht="15" x14ac:dyDescent="0.25">
      <c r="A23" s="30" t="s">
        <v>195</v>
      </c>
      <c r="B23" s="52">
        <v>-460058989.26999998</v>
      </c>
      <c r="C23" s="52">
        <v>-115757154.01000001</v>
      </c>
    </row>
    <row r="24" spans="1:3" ht="15" x14ac:dyDescent="0.25">
      <c r="A24" s="30" t="s">
        <v>196</v>
      </c>
      <c r="B24" s="52">
        <v>-10303023</v>
      </c>
      <c r="C24" s="52">
        <v>-6507227</v>
      </c>
    </row>
    <row r="25" spans="1:3" ht="15" x14ac:dyDescent="0.25">
      <c r="A25" s="30" t="s">
        <v>197</v>
      </c>
      <c r="B25" s="52"/>
      <c r="C25" s="52">
        <v>0</v>
      </c>
    </row>
    <row r="26" spans="1:3" ht="15" x14ac:dyDescent="0.25">
      <c r="A26" s="30" t="s">
        <v>198</v>
      </c>
      <c r="B26" s="52">
        <v>-1258575399.3800001</v>
      </c>
      <c r="C26" s="52">
        <v>-784480717.20000005</v>
      </c>
    </row>
    <row r="27" spans="1:3" x14ac:dyDescent="0.2">
      <c r="A27" s="28" t="s">
        <v>199</v>
      </c>
      <c r="B27" s="29">
        <f>+B5+B15</f>
        <v>7435218078.2699976</v>
      </c>
      <c r="C27" s="29">
        <f>+C5+C15</f>
        <v>9927793002.9500027</v>
      </c>
    </row>
    <row r="28" spans="1:3" x14ac:dyDescent="0.2">
      <c r="A28" s="56" t="s">
        <v>44</v>
      </c>
      <c r="B28" s="57"/>
      <c r="C28" s="58"/>
    </row>
    <row r="29" spans="1:3" x14ac:dyDescent="0.2">
      <c r="A29" s="28" t="s">
        <v>178</v>
      </c>
      <c r="B29" s="29">
        <f>SUM(B30:B33)</f>
        <v>1838933977.71</v>
      </c>
      <c r="C29" s="29">
        <f>SUM(C30:C33)</f>
        <v>2904872309.79</v>
      </c>
    </row>
    <row r="30" spans="1:3" ht="15" x14ac:dyDescent="0.25">
      <c r="A30" s="30" t="s">
        <v>200</v>
      </c>
      <c r="B30" s="52">
        <v>0</v>
      </c>
      <c r="C30" s="52">
        <v>14652054.789999999</v>
      </c>
    </row>
    <row r="31" spans="1:3" ht="15" x14ac:dyDescent="0.25">
      <c r="A31" s="30" t="s">
        <v>201</v>
      </c>
      <c r="B31" s="52">
        <v>0</v>
      </c>
      <c r="C31" s="52">
        <v>0</v>
      </c>
    </row>
    <row r="32" spans="1:3" ht="15" x14ac:dyDescent="0.25">
      <c r="A32" s="30" t="s">
        <v>202</v>
      </c>
      <c r="B32" s="52">
        <v>0</v>
      </c>
      <c r="C32" s="52">
        <v>0</v>
      </c>
    </row>
    <row r="33" spans="1:3" ht="15" x14ac:dyDescent="0.25">
      <c r="A33" s="30" t="s">
        <v>203</v>
      </c>
      <c r="B33" s="52">
        <v>1838933977.71</v>
      </c>
      <c r="C33" s="52">
        <v>2890220255</v>
      </c>
    </row>
    <row r="34" spans="1:3" x14ac:dyDescent="0.2">
      <c r="A34" s="28" t="s">
        <v>187</v>
      </c>
      <c r="B34" s="29">
        <f>SUM(B35:B38)</f>
        <v>-2814101802.3299999</v>
      </c>
      <c r="C34" s="29">
        <f>SUM(C35:C38)</f>
        <v>-6404252592.7200003</v>
      </c>
    </row>
    <row r="35" spans="1:3" ht="15" x14ac:dyDescent="0.25">
      <c r="A35" s="30" t="s">
        <v>204</v>
      </c>
      <c r="B35" s="52">
        <v>-9422448</v>
      </c>
      <c r="C35" s="52">
        <v>-31855659</v>
      </c>
    </row>
    <row r="36" spans="1:3" ht="15" x14ac:dyDescent="0.25">
      <c r="A36" s="30" t="s">
        <v>205</v>
      </c>
      <c r="B36" s="52">
        <v>0</v>
      </c>
      <c r="C36" s="52">
        <v>0</v>
      </c>
    </row>
    <row r="37" spans="1:3" ht="15" x14ac:dyDescent="0.25">
      <c r="A37" s="30" t="s">
        <v>206</v>
      </c>
      <c r="B37" s="52">
        <v>0</v>
      </c>
      <c r="C37" s="52">
        <v>-5000000000</v>
      </c>
    </row>
    <row r="38" spans="1:3" ht="15" x14ac:dyDescent="0.25">
      <c r="A38" s="30" t="s">
        <v>207</v>
      </c>
      <c r="B38" s="52">
        <v>-2804679354.3299999</v>
      </c>
      <c r="C38" s="52">
        <v>-1372396933.72</v>
      </c>
    </row>
    <row r="39" spans="1:3" x14ac:dyDescent="0.2">
      <c r="A39" s="28" t="s">
        <v>208</v>
      </c>
      <c r="B39" s="29">
        <f>+B29+B34</f>
        <v>-975167824.61999989</v>
      </c>
      <c r="C39" s="29">
        <f>+C29+C34</f>
        <v>-3499380282.9300003</v>
      </c>
    </row>
    <row r="40" spans="1:3" x14ac:dyDescent="0.2">
      <c r="A40" s="56" t="s">
        <v>45</v>
      </c>
      <c r="B40" s="57"/>
      <c r="C40" s="58"/>
    </row>
    <row r="41" spans="1:3" x14ac:dyDescent="0.2">
      <c r="A41" s="28" t="s">
        <v>178</v>
      </c>
      <c r="B41" s="29">
        <f>SUM(B42:B45)</f>
        <v>40601985760.07</v>
      </c>
      <c r="C41" s="29">
        <f>SUM(C42:C45)</f>
        <v>16462711554.809999</v>
      </c>
    </row>
    <row r="42" spans="1:3" ht="15" x14ac:dyDescent="0.25">
      <c r="A42" s="30" t="s">
        <v>209</v>
      </c>
      <c r="B42" s="52">
        <v>10448615674.620001</v>
      </c>
      <c r="C42" s="52">
        <v>2722279500</v>
      </c>
    </row>
    <row r="43" spans="1:3" ht="15" x14ac:dyDescent="0.25">
      <c r="A43" s="30" t="s">
        <v>210</v>
      </c>
      <c r="B43" s="52">
        <v>0</v>
      </c>
      <c r="C43" s="52">
        <v>0</v>
      </c>
    </row>
    <row r="44" spans="1:3" ht="15" x14ac:dyDescent="0.25">
      <c r="A44" s="30" t="s">
        <v>46</v>
      </c>
      <c r="B44" s="52">
        <v>-6000000</v>
      </c>
      <c r="C44" s="52">
        <v>-2000000</v>
      </c>
    </row>
    <row r="45" spans="1:3" ht="15" x14ac:dyDescent="0.25">
      <c r="A45" s="30" t="s">
        <v>186</v>
      </c>
      <c r="B45" s="52">
        <v>30159370085.450001</v>
      </c>
      <c r="C45" s="52">
        <v>13742432054.809999</v>
      </c>
    </row>
    <row r="46" spans="1:3" x14ac:dyDescent="0.2">
      <c r="A46" s="28" t="s">
        <v>187</v>
      </c>
      <c r="B46" s="29">
        <f>SUM(B47:B51)</f>
        <v>-41289734150.760002</v>
      </c>
      <c r="C46" s="29">
        <f>SUM(C47:C51)</f>
        <v>-26449439086.77</v>
      </c>
    </row>
    <row r="47" spans="1:3" ht="15" x14ac:dyDescent="0.25">
      <c r="A47" s="30" t="s">
        <v>211</v>
      </c>
      <c r="B47" s="52">
        <v>-10142417099.52</v>
      </c>
      <c r="C47" s="52">
        <v>-11505535101.190001</v>
      </c>
    </row>
    <row r="48" spans="1:3" ht="15" x14ac:dyDescent="0.25">
      <c r="A48" s="30" t="s">
        <v>212</v>
      </c>
      <c r="B48" s="52">
        <v>-427515874.62</v>
      </c>
      <c r="C48" s="52">
        <v>0</v>
      </c>
    </row>
    <row r="49" spans="1:4" ht="15" x14ac:dyDescent="0.25">
      <c r="A49" s="30" t="s">
        <v>213</v>
      </c>
      <c r="B49" s="52">
        <v>0</v>
      </c>
      <c r="C49" s="52">
        <v>0</v>
      </c>
    </row>
    <row r="50" spans="1:4" ht="15" x14ac:dyDescent="0.25">
      <c r="A50" s="30" t="s">
        <v>214</v>
      </c>
      <c r="B50" s="52">
        <v>-1096425552.25</v>
      </c>
      <c r="C50" s="52">
        <v>0</v>
      </c>
    </row>
    <row r="51" spans="1:4" ht="15" x14ac:dyDescent="0.25">
      <c r="A51" s="30" t="s">
        <v>198</v>
      </c>
      <c r="B51" s="52">
        <v>-29623375624.369999</v>
      </c>
      <c r="C51" s="52">
        <v>-14943903985.58</v>
      </c>
    </row>
    <row r="52" spans="1:4" x14ac:dyDescent="0.2">
      <c r="A52" s="31" t="s">
        <v>215</v>
      </c>
      <c r="B52" s="29">
        <f>+B41+B46</f>
        <v>-687748390.69000244</v>
      </c>
      <c r="C52" s="29">
        <f>+C41+C46</f>
        <v>-9986727531.960001</v>
      </c>
    </row>
    <row r="53" spans="1:4" ht="15" x14ac:dyDescent="0.25">
      <c r="A53" s="31" t="s">
        <v>216</v>
      </c>
      <c r="B53" s="52">
        <v>42368722.369999997</v>
      </c>
      <c r="C53" s="52">
        <v>8361808.04</v>
      </c>
    </row>
    <row r="54" spans="1:4" x14ac:dyDescent="0.2">
      <c r="A54" s="5" t="s">
        <v>217</v>
      </c>
      <c r="B54" s="29">
        <f>+B53+B52+B39+B27</f>
        <v>5814670585.3299952</v>
      </c>
      <c r="C54" s="29">
        <f>+C53+C52+C39+C27</f>
        <v>-3549953003.8999977</v>
      </c>
    </row>
    <row r="55" spans="1:4" ht="15" x14ac:dyDescent="0.25">
      <c r="A55" s="28" t="s">
        <v>218</v>
      </c>
      <c r="B55" s="52">
        <v>4965040323.9200001</v>
      </c>
      <c r="C55" s="29">
        <f>+B56</f>
        <v>7067925282.4899998</v>
      </c>
    </row>
    <row r="56" spans="1:4" ht="15" x14ac:dyDescent="0.25">
      <c r="A56" s="28" t="s">
        <v>219</v>
      </c>
      <c r="B56" s="52">
        <v>7067925282.4899998</v>
      </c>
      <c r="C56" s="29">
        <f>+C54+C55</f>
        <v>3517972278.5900021</v>
      </c>
      <c r="D56" s="32"/>
    </row>
    <row r="58" spans="1:4" x14ac:dyDescent="0.2">
      <c r="B58" s="42" t="s">
        <v>252</v>
      </c>
      <c r="D58" s="11"/>
    </row>
    <row r="59" spans="1:4" x14ac:dyDescent="0.2">
      <c r="A59" s="45" t="s">
        <v>250</v>
      </c>
      <c r="B59" s="44"/>
      <c r="C59" s="43" t="s">
        <v>267</v>
      </c>
    </row>
    <row r="60" spans="1:4" x14ac:dyDescent="0.2">
      <c r="C60" s="11"/>
    </row>
    <row r="61" spans="1:4" x14ac:dyDescent="0.2">
      <c r="A61" s="45" t="s">
        <v>251</v>
      </c>
      <c r="B61" s="44"/>
      <c r="C61" s="43" t="s">
        <v>270</v>
      </c>
    </row>
  </sheetData>
  <sheetProtection algorithmName="SHA-512" hashValue="IMolFUmAzvDab9f/hiIaqoF7NQiAzaye8RBXY4ArgXrzeZ7Igi8rHL3d2HLqf5xETlvO8g5TaSDHAXQ6AmVaCg==" saltValue="065JEKyfJVDZT2ZCi7lo9w==" spinCount="100000" sheet="1" objects="1" scenarios="1"/>
  <mergeCells count="3">
    <mergeCell ref="A40:C40"/>
    <mergeCell ref="A28:C28"/>
    <mergeCell ref="A4:C4"/>
  </mergeCells>
  <dataValidations count="1">
    <dataValidation type="decimal" operator="notEqual" allowBlank="1" showErrorMessage="1" error="This is an invalid value!" sqref="B42:C45 B35:C38 B47:C51 B18:B26 B6:C14" xr:uid="{00000000-0002-0000-0300-000000000000}">
      <formula1>1E+25</formula1>
      <formula2>0</formula2>
    </dataValidation>
  </dataValidations>
  <pageMargins left="0.75" right="0.5" top="0.5" bottom="0.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2"/>
  <sheetViews>
    <sheetView tabSelected="1" workbookViewId="0">
      <selection activeCell="C22" sqref="A1:XFD1048576"/>
    </sheetView>
  </sheetViews>
  <sheetFormatPr defaultRowHeight="15" x14ac:dyDescent="0.25"/>
  <cols>
    <col min="1" max="1" width="4.42578125" style="46" customWidth="1"/>
    <col min="2" max="2" width="43.28515625" style="46" customWidth="1"/>
    <col min="3" max="3" width="28.28515625" style="46" customWidth="1"/>
    <col min="4" max="4" width="14" style="46" customWidth="1"/>
    <col min="5" max="16384" width="9.140625" style="46"/>
  </cols>
  <sheetData>
    <row r="1" spans="1:3" ht="39" customHeight="1" x14ac:dyDescent="0.25">
      <c r="A1" s="54" t="s">
        <v>253</v>
      </c>
      <c r="B1" s="54"/>
      <c r="C1" s="54"/>
    </row>
    <row r="2" spans="1:3" x14ac:dyDescent="0.25">
      <c r="A2" s="47"/>
    </row>
    <row r="3" spans="1:3" x14ac:dyDescent="0.25">
      <c r="A3" s="48"/>
      <c r="B3" s="48" t="s">
        <v>48</v>
      </c>
      <c r="C3" s="49" t="s">
        <v>254</v>
      </c>
    </row>
    <row r="4" spans="1:3" x14ac:dyDescent="0.2">
      <c r="A4" s="50">
        <v>1</v>
      </c>
      <c r="B4" s="51" t="s">
        <v>255</v>
      </c>
      <c r="C4" s="14">
        <f>BS!C5</f>
        <v>58336890777.050003</v>
      </c>
    </row>
    <row r="5" spans="1:3" x14ac:dyDescent="0.2">
      <c r="A5" s="50">
        <v>2</v>
      </c>
      <c r="B5" s="51" t="s">
        <v>256</v>
      </c>
      <c r="C5" s="14">
        <f>BS!C99</f>
        <v>36316153620.389999</v>
      </c>
    </row>
    <row r="6" spans="1:3" x14ac:dyDescent="0.2">
      <c r="A6" s="50">
        <v>3</v>
      </c>
      <c r="B6" s="51" t="s">
        <v>8</v>
      </c>
      <c r="C6" s="14">
        <f>BS!C43</f>
        <v>9183320317.6199989</v>
      </c>
    </row>
    <row r="7" spans="1:3" x14ac:dyDescent="0.2">
      <c r="A7" s="50">
        <v>4</v>
      </c>
      <c r="B7" s="51" t="s">
        <v>257</v>
      </c>
      <c r="C7" s="14">
        <f>BS!C65*1</f>
        <v>0</v>
      </c>
    </row>
    <row r="8" spans="1:3" x14ac:dyDescent="0.2">
      <c r="A8" s="50">
        <v>5</v>
      </c>
      <c r="B8" s="51" t="s">
        <v>16</v>
      </c>
      <c r="C8" s="14">
        <f>BS!C91</f>
        <v>11970030906.010008</v>
      </c>
    </row>
    <row r="9" spans="1:3" x14ac:dyDescent="0.2">
      <c r="A9" s="50">
        <v>6</v>
      </c>
      <c r="B9" s="51" t="s">
        <v>12</v>
      </c>
      <c r="C9" s="14">
        <f>BS!C70</f>
        <v>10050706250.65</v>
      </c>
    </row>
    <row r="10" spans="1:3" ht="30" x14ac:dyDescent="0.2">
      <c r="A10" s="50">
        <v>7</v>
      </c>
      <c r="B10" s="51" t="s">
        <v>258</v>
      </c>
      <c r="C10" s="14">
        <f>(C8+C9)*1</f>
        <v>22020737156.660007</v>
      </c>
    </row>
    <row r="11" spans="1:3" x14ac:dyDescent="0.2">
      <c r="A11" s="50">
        <v>8</v>
      </c>
      <c r="B11" s="51" t="s">
        <v>259</v>
      </c>
      <c r="C11" s="14">
        <f>IS!C19</f>
        <v>2055886909.0299993</v>
      </c>
    </row>
    <row r="12" spans="1:3" x14ac:dyDescent="0.2">
      <c r="A12" s="50">
        <v>9</v>
      </c>
      <c r="B12" s="51" t="s">
        <v>260</v>
      </c>
      <c r="C12" s="14">
        <f>IS!C38</f>
        <v>42949650</v>
      </c>
    </row>
    <row r="13" spans="1:3" ht="30" x14ac:dyDescent="0.2">
      <c r="A13" s="50">
        <v>10</v>
      </c>
      <c r="B13" s="51" t="s">
        <v>261</v>
      </c>
      <c r="C13" s="14">
        <f>(C11-C12)*1</f>
        <v>2012937259.0299993</v>
      </c>
    </row>
    <row r="14" spans="1:3" ht="30" x14ac:dyDescent="0.2">
      <c r="A14" s="50">
        <v>11</v>
      </c>
      <c r="B14" s="51" t="s">
        <v>262</v>
      </c>
      <c r="C14" s="14">
        <f>((C5-C6)/(C7+C10+C13))*100</f>
        <v>112.89506894982632</v>
      </c>
    </row>
    <row r="15" spans="1:3" ht="30" x14ac:dyDescent="0.2">
      <c r="A15" s="50">
        <v>12</v>
      </c>
      <c r="B15" s="51" t="s">
        <v>263</v>
      </c>
      <c r="C15" s="14">
        <f>BS!C6</f>
        <v>49153570459.43</v>
      </c>
    </row>
    <row r="16" spans="1:3" ht="30" x14ac:dyDescent="0.2">
      <c r="A16" s="50">
        <v>13</v>
      </c>
      <c r="B16" s="51" t="s">
        <v>264</v>
      </c>
      <c r="C16" s="14">
        <f>(C15/C4)*100</f>
        <v>84.258125184085458</v>
      </c>
    </row>
    <row r="17" s="46" customFormat="1" x14ac:dyDescent="0.25"/>
    <row r="18" s="46" customFormat="1" x14ac:dyDescent="0.25"/>
    <row r="19" s="46" customFormat="1" x14ac:dyDescent="0.25"/>
    <row r="20" s="46" customFormat="1" x14ac:dyDescent="0.25"/>
    <row r="21" s="46" customFormat="1" x14ac:dyDescent="0.25"/>
    <row r="22" s="46" customFormat="1" x14ac:dyDescent="0.25"/>
    <row r="23" s="46" customFormat="1" x14ac:dyDescent="0.25"/>
    <row r="24" s="46" customFormat="1" x14ac:dyDescent="0.25"/>
    <row r="25" s="46" customFormat="1" x14ac:dyDescent="0.25"/>
    <row r="26" s="46" customFormat="1" x14ac:dyDescent="0.25"/>
    <row r="27" s="46" customFormat="1" x14ac:dyDescent="0.25"/>
    <row r="28" s="46" customFormat="1" x14ac:dyDescent="0.25"/>
    <row r="29" s="46" customFormat="1" x14ac:dyDescent="0.25"/>
    <row r="30" s="46" customFormat="1" x14ac:dyDescent="0.25"/>
    <row r="31" s="46" customFormat="1" x14ac:dyDescent="0.25"/>
    <row r="32" s="46" customFormat="1" x14ac:dyDescent="0.25"/>
    <row r="33" s="46" customFormat="1" x14ac:dyDescent="0.25"/>
    <row r="34" s="46" customFormat="1" x14ac:dyDescent="0.25"/>
    <row r="35" s="46" customFormat="1" x14ac:dyDescent="0.25"/>
    <row r="36" s="46" customFormat="1" x14ac:dyDescent="0.25"/>
    <row r="37" s="46" customFormat="1" x14ac:dyDescent="0.25"/>
    <row r="38" s="46" customFormat="1" x14ac:dyDescent="0.25"/>
    <row r="39" s="46" customFormat="1" x14ac:dyDescent="0.25"/>
    <row r="40" s="46" customFormat="1" x14ac:dyDescent="0.25"/>
    <row r="41" s="46" customFormat="1" x14ac:dyDescent="0.25"/>
    <row r="42" s="46" customFormat="1" x14ac:dyDescent="0.25"/>
    <row r="43" s="46" customFormat="1" x14ac:dyDescent="0.25"/>
    <row r="44" s="46" customFormat="1" x14ac:dyDescent="0.25"/>
    <row r="45" s="46" customFormat="1" x14ac:dyDescent="0.25"/>
    <row r="46" s="46" customFormat="1" x14ac:dyDescent="0.25"/>
    <row r="47" s="46" customFormat="1" x14ac:dyDescent="0.25"/>
    <row r="48" s="46" customFormat="1" x14ac:dyDescent="0.25"/>
    <row r="49" s="46" customFormat="1" x14ac:dyDescent="0.25"/>
    <row r="50" s="46" customFormat="1" x14ac:dyDescent="0.25"/>
    <row r="51" s="46" customFormat="1" x14ac:dyDescent="0.25"/>
    <row r="52" s="46" customFormat="1" x14ac:dyDescent="0.25"/>
    <row r="53" s="46" customFormat="1" x14ac:dyDescent="0.25"/>
    <row r="54" s="46" customFormat="1" x14ac:dyDescent="0.25"/>
    <row r="55" s="46" customFormat="1" x14ac:dyDescent="0.25"/>
    <row r="56" s="46" customFormat="1" x14ac:dyDescent="0.25"/>
    <row r="57" s="46" customFormat="1" x14ac:dyDescent="0.25"/>
    <row r="58" s="46" customFormat="1" x14ac:dyDescent="0.25"/>
    <row r="59" s="46" customFormat="1" x14ac:dyDescent="0.25"/>
    <row r="60" s="46" customFormat="1" x14ac:dyDescent="0.25"/>
    <row r="61" s="46" customFormat="1" x14ac:dyDescent="0.25"/>
    <row r="62" s="46" customFormat="1" x14ac:dyDescent="0.25"/>
    <row r="63" s="46" customFormat="1" x14ac:dyDescent="0.25"/>
    <row r="64" s="46" customFormat="1" x14ac:dyDescent="0.25"/>
    <row r="65" s="46" customFormat="1" x14ac:dyDescent="0.25"/>
    <row r="66" s="46" customFormat="1" x14ac:dyDescent="0.25"/>
    <row r="67" s="46" customFormat="1" x14ac:dyDescent="0.25"/>
    <row r="68" s="46" customFormat="1" x14ac:dyDescent="0.25"/>
    <row r="69" s="46" customFormat="1" x14ac:dyDescent="0.25"/>
    <row r="70" s="46" customFormat="1" x14ac:dyDescent="0.25"/>
    <row r="71" s="46" customFormat="1" x14ac:dyDescent="0.25"/>
    <row r="72" s="46" customFormat="1" x14ac:dyDescent="0.25"/>
    <row r="73" s="46" customFormat="1" x14ac:dyDescent="0.25"/>
    <row r="74" s="46" customFormat="1" x14ac:dyDescent="0.25"/>
    <row r="75" s="46" customFormat="1" x14ac:dyDescent="0.25"/>
    <row r="76" s="46" customFormat="1" x14ac:dyDescent="0.25"/>
    <row r="77" s="46" customFormat="1" x14ac:dyDescent="0.25"/>
    <row r="78" s="46" customFormat="1" x14ac:dyDescent="0.25"/>
    <row r="79" s="46" customFormat="1" x14ac:dyDescent="0.25"/>
    <row r="80" s="46" customFormat="1" x14ac:dyDescent="0.25"/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  <row r="114" s="46" customFormat="1" x14ac:dyDescent="0.25"/>
    <row r="115" s="46" customFormat="1" x14ac:dyDescent="0.25"/>
    <row r="116" s="46" customFormat="1" x14ac:dyDescent="0.25"/>
    <row r="117" s="46" customFormat="1" x14ac:dyDescent="0.25"/>
    <row r="119" s="46" customFormat="1" x14ac:dyDescent="0.25"/>
    <row r="120" s="46" customFormat="1" x14ac:dyDescent="0.25"/>
    <row r="121" s="46" customFormat="1" x14ac:dyDescent="0.25"/>
    <row r="122" s="46" customFormat="1" x14ac:dyDescent="0.25"/>
  </sheetData>
  <sheetProtection algorithmName="SHA-512" hashValue="GHyH6nhlQA5/Zl12OdT8yaBJXbfah0Z9lSje+Chm5MeT0DSNdMdgx0Bbg+svW/6rmxpMcL9jPuqG5kNMTYVZbA==" saltValue="JC5zDPylS4CvYeY+Z6OOew==" spinCount="100000" sheet="1" objects="1" scenarios="1"/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CA</vt:lpstr>
      <vt:lpstr>CS</vt:lpstr>
      <vt:lpstr>Solvency</vt:lpstr>
    </vt:vector>
  </TitlesOfParts>
  <Company>frc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ganbat n</dc:creator>
  <cp:lastModifiedBy>Dell</cp:lastModifiedBy>
  <cp:lastPrinted>2026-07-08T11:17:16Z</cp:lastPrinted>
  <dcterms:created xsi:type="dcterms:W3CDTF">2011-09-20T08:36:24Z</dcterms:created>
  <dcterms:modified xsi:type="dcterms:W3CDTF">2026-07-08T11:28:47Z</dcterms:modified>
</cp:coreProperties>
</file>